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trc.sharepoint.com/Planning Team Site/PlanningGrants/YadkinRiverPedBridgeProject_MDGP/BCA/"/>
    </mc:Choice>
  </mc:AlternateContent>
  <xr:revisionPtr revIDLastSave="0" documentId="8_{0FFAB71A-3BE1-4B04-BF85-929F6E2AB87C}" xr6:coauthVersionLast="36" xr6:coauthVersionMax="36" xr10:uidLastSave="{00000000-0000-0000-0000-000000000000}"/>
  <bookViews>
    <workbookView xWindow="0" yWindow="0" windowWidth="24000" windowHeight="9525" xr2:uid="{A42CF978-62CE-40F7-9B53-2E1B6FB50FB7}"/>
  </bookViews>
  <sheets>
    <sheet name="Summary" sheetId="1" r:id="rId1"/>
    <sheet name="Assumptions" sheetId="2" r:id="rId2"/>
    <sheet name="BiPed Users Change" sheetId="5" r:id="rId3"/>
    <sheet name="Costs" sheetId="3" r:id="rId4"/>
    <sheet name="Benefits" sheetId="4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7" i="4" l="1"/>
  <c r="I17" i="4"/>
  <c r="V12" i="2"/>
  <c r="U12" i="2"/>
  <c r="J11" i="3"/>
  <c r="I11" i="3"/>
  <c r="E13" i="3" l="1"/>
  <c r="O26" i="2"/>
  <c r="V5" i="4" l="1"/>
  <c r="V6" i="4"/>
  <c r="R7" i="4"/>
  <c r="I9" i="4"/>
  <c r="L9" i="4"/>
  <c r="O9" i="4"/>
  <c r="E12" i="4"/>
  <c r="X12" i="4"/>
  <c r="B13" i="4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C13" i="4"/>
  <c r="R13" i="4"/>
  <c r="E13" i="4" s="1"/>
  <c r="F13" i="4" s="1"/>
  <c r="X13" i="4"/>
  <c r="C14" i="4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C34" i="4" s="1"/>
  <c r="C35" i="4" s="1"/>
  <c r="C36" i="4" s="1"/>
  <c r="C37" i="4" s="1"/>
  <c r="C38" i="4" s="1"/>
  <c r="C39" i="4" s="1"/>
  <c r="C40" i="4" s="1"/>
  <c r="C41" i="4" s="1"/>
  <c r="C42" i="4" s="1"/>
  <c r="Q61" i="4"/>
  <c r="R61" i="4"/>
  <c r="Q38" i="2" s="1"/>
  <c r="Q62" i="4"/>
  <c r="R62" i="4"/>
  <c r="Q39" i="2" s="1"/>
  <c r="C64" i="4"/>
  <c r="D64" i="4"/>
  <c r="E64" i="4"/>
  <c r="F64" i="4"/>
  <c r="G64" i="4"/>
  <c r="H64" i="4"/>
  <c r="I64" i="4"/>
  <c r="J64" i="4"/>
  <c r="K64" i="4"/>
  <c r="L64" i="4"/>
  <c r="M64" i="4"/>
  <c r="C65" i="4"/>
  <c r="D65" i="4"/>
  <c r="E65" i="4"/>
  <c r="F65" i="4"/>
  <c r="G65" i="4"/>
  <c r="H65" i="4"/>
  <c r="I65" i="4"/>
  <c r="J65" i="4"/>
  <c r="K65" i="4"/>
  <c r="L65" i="4"/>
  <c r="M65" i="4"/>
  <c r="K21" i="2"/>
  <c r="L21" i="2"/>
  <c r="J6" i="2"/>
  <c r="J5" i="2"/>
  <c r="D17" i="2"/>
  <c r="D19" i="2"/>
  <c r="X30" i="2"/>
  <c r="Y30" i="2" s="1"/>
  <c r="X31" i="2"/>
  <c r="Y31" i="2" s="1"/>
  <c r="AA31" i="2" s="1"/>
  <c r="AA33" i="2" s="1"/>
  <c r="D6" i="1"/>
  <c r="E6" i="1"/>
  <c r="F6" i="1"/>
  <c r="C39" i="1"/>
  <c r="C40" i="1" s="1"/>
  <c r="C41" i="1" s="1"/>
  <c r="C42" i="1" s="1"/>
  <c r="C43" i="1" s="1"/>
  <c r="C44" i="1" s="1"/>
  <c r="C45" i="1" s="1"/>
  <c r="B39" i="1"/>
  <c r="B40" i="1"/>
  <c r="B41" i="1"/>
  <c r="B42" i="1"/>
  <c r="B43" i="1" s="1"/>
  <c r="B44" i="1" s="1"/>
  <c r="B45" i="1" s="1"/>
  <c r="Z11" i="2"/>
  <c r="Z4" i="2"/>
  <c r="Z5" i="2"/>
  <c r="Z6" i="2"/>
  <c r="Z7" i="2"/>
  <c r="Z8" i="2"/>
  <c r="Y4" i="2"/>
  <c r="AA4" i="2" s="1"/>
  <c r="Y5" i="2"/>
  <c r="AA5" i="2" s="1"/>
  <c r="Y6" i="2"/>
  <c r="Y7" i="2"/>
  <c r="Y8" i="2"/>
  <c r="AA8" i="2" s="1"/>
  <c r="Y3" i="2"/>
  <c r="Z3" i="2"/>
  <c r="Z2" i="2"/>
  <c r="Y2" i="2"/>
  <c r="U11" i="2"/>
  <c r="Y11" i="2" s="1"/>
  <c r="AA11" i="2" s="1"/>
  <c r="V10" i="2"/>
  <c r="Z10" i="2" s="1"/>
  <c r="U10" i="2"/>
  <c r="Y10" i="2" s="1"/>
  <c r="V9" i="2"/>
  <c r="Z9" i="2" s="1"/>
  <c r="U9" i="2"/>
  <c r="Y9" i="2" s="1"/>
  <c r="D22" i="2"/>
  <c r="D21" i="2"/>
  <c r="M21" i="2"/>
  <c r="S24" i="2"/>
  <c r="Q24" i="2"/>
  <c r="U20" i="2"/>
  <c r="V20" i="2" s="1"/>
  <c r="U19" i="2"/>
  <c r="V19" i="2" s="1"/>
  <c r="U18" i="2"/>
  <c r="V18" i="2" s="1"/>
  <c r="D8" i="5"/>
  <c r="P12" i="5"/>
  <c r="R12" i="5"/>
  <c r="L4" i="5"/>
  <c r="L11" i="5"/>
  <c r="N11" i="5" s="1"/>
  <c r="N4" i="5"/>
  <c r="P4" i="5"/>
  <c r="L14" i="5"/>
  <c r="H11" i="5"/>
  <c r="H28" i="5"/>
  <c r="J28" i="5"/>
  <c r="J4" i="5"/>
  <c r="K17" i="5"/>
  <c r="J14" i="5"/>
  <c r="J26" i="5"/>
  <c r="H26" i="5"/>
  <c r="K26" i="5"/>
  <c r="J25" i="5"/>
  <c r="J24" i="5"/>
  <c r="J23" i="5"/>
  <c r="J22" i="5"/>
  <c r="J20" i="5"/>
  <c r="J21" i="5"/>
  <c r="J19" i="5"/>
  <c r="J18" i="5"/>
  <c r="J17" i="5"/>
  <c r="J13" i="5"/>
  <c r="J12" i="5"/>
  <c r="J11" i="5"/>
  <c r="J10" i="5"/>
  <c r="J9" i="5"/>
  <c r="J8" i="5"/>
  <c r="J7" i="5"/>
  <c r="J6" i="5"/>
  <c r="F12" i="5"/>
  <c r="H25" i="5"/>
  <c r="H18" i="5"/>
  <c r="H10" i="5"/>
  <c r="J5" i="5"/>
  <c r="H14" i="5"/>
  <c r="G14" i="5"/>
  <c r="H13" i="5"/>
  <c r="H12" i="5"/>
  <c r="H9" i="5"/>
  <c r="H8" i="5"/>
  <c r="H7" i="5"/>
  <c r="H6" i="5"/>
  <c r="H5" i="5"/>
  <c r="H4" i="5"/>
  <c r="F33" i="5"/>
  <c r="G39" i="5"/>
  <c r="G38" i="5"/>
  <c r="G37" i="5"/>
  <c r="G36" i="5"/>
  <c r="G35" i="5"/>
  <c r="G34" i="5"/>
  <c r="G33" i="5"/>
  <c r="F39" i="5"/>
  <c r="F38" i="5"/>
  <c r="F37" i="5"/>
  <c r="F36" i="5"/>
  <c r="F35" i="5"/>
  <c r="F34" i="5"/>
  <c r="D4" i="5"/>
  <c r="D5" i="5"/>
  <c r="F5" i="5" s="1"/>
  <c r="D6" i="5"/>
  <c r="F6" i="5" s="1"/>
  <c r="D7" i="5"/>
  <c r="F7" i="5" s="1"/>
  <c r="F8" i="5"/>
  <c r="D9" i="5"/>
  <c r="F9" i="5"/>
  <c r="D10" i="5"/>
  <c r="D22" i="5" s="1"/>
  <c r="F10" i="5"/>
  <c r="D11" i="5"/>
  <c r="D23" i="5" s="1"/>
  <c r="F11" i="5"/>
  <c r="F23" i="5" s="1"/>
  <c r="G11" i="5"/>
  <c r="D12" i="5"/>
  <c r="D13" i="5"/>
  <c r="D25" i="5" s="1"/>
  <c r="F13" i="5"/>
  <c r="F25" i="5" s="1"/>
  <c r="G25" i="5" s="1"/>
  <c r="D14" i="5"/>
  <c r="B17" i="5"/>
  <c r="C17" i="5"/>
  <c r="B18" i="5"/>
  <c r="C18" i="5"/>
  <c r="D18" i="5"/>
  <c r="B19" i="5"/>
  <c r="C19" i="5"/>
  <c r="B20" i="5"/>
  <c r="C20" i="5"/>
  <c r="F20" i="5"/>
  <c r="B21" i="5"/>
  <c r="C21" i="5"/>
  <c r="D21" i="5"/>
  <c r="B22" i="5"/>
  <c r="C22" i="5"/>
  <c r="B23" i="5"/>
  <c r="C23" i="5"/>
  <c r="B24" i="5"/>
  <c r="C24" i="5"/>
  <c r="B25" i="5"/>
  <c r="C25" i="5"/>
  <c r="B26" i="5"/>
  <c r="C26" i="5"/>
  <c r="D26" i="5"/>
  <c r="G26" i="5" s="1"/>
  <c r="AA3" i="2" l="1"/>
  <c r="AA7" i="2"/>
  <c r="Q64" i="4"/>
  <c r="Q65" i="4"/>
  <c r="AA10" i="2"/>
  <c r="AA2" i="2"/>
  <c r="AA6" i="2"/>
  <c r="O17" i="4"/>
  <c r="M22" i="2"/>
  <c r="AA9" i="2"/>
  <c r="V24" i="2"/>
  <c r="H19" i="2" s="1"/>
  <c r="O21" i="2"/>
  <c r="M23" i="2"/>
  <c r="F12" i="4"/>
  <c r="Q37" i="2"/>
  <c r="K22" i="2" s="1"/>
  <c r="H16" i="2"/>
  <c r="H18" i="2"/>
  <c r="R4" i="5"/>
  <c r="N14" i="5"/>
  <c r="O14" i="5" s="1"/>
  <c r="L26" i="5"/>
  <c r="N26" i="5" s="1"/>
  <c r="O26" i="5" s="1"/>
  <c r="L6" i="5"/>
  <c r="L9" i="5"/>
  <c r="L12" i="5"/>
  <c r="L7" i="5"/>
  <c r="L10" i="5"/>
  <c r="L13" i="5"/>
  <c r="L5" i="5"/>
  <c r="L8" i="5"/>
  <c r="K14" i="5"/>
  <c r="F18" i="5"/>
  <c r="H22" i="5"/>
  <c r="K11" i="5"/>
  <c r="K8" i="5"/>
  <c r="F24" i="5"/>
  <c r="G12" i="5"/>
  <c r="G9" i="5"/>
  <c r="H23" i="5"/>
  <c r="K23" i="5" s="1"/>
  <c r="G8" i="5"/>
  <c r="H20" i="5" s="1"/>
  <c r="G13" i="5"/>
  <c r="D20" i="5"/>
  <c r="G20" i="5" s="1"/>
  <c r="G5" i="5"/>
  <c r="F17" i="5"/>
  <c r="G23" i="5"/>
  <c r="G10" i="5"/>
  <c r="F21" i="5"/>
  <c r="D17" i="5"/>
  <c r="G21" i="5"/>
  <c r="G18" i="5"/>
  <c r="D24" i="5"/>
  <c r="F19" i="5"/>
  <c r="G7" i="5"/>
  <c r="H19" i="5" s="1"/>
  <c r="G6" i="5"/>
  <c r="D19" i="5"/>
  <c r="F22" i="5"/>
  <c r="G22" i="5" s="1"/>
  <c r="I15" i="2" l="1"/>
  <c r="H34" i="2"/>
  <c r="I17" i="2"/>
  <c r="I16" i="2"/>
  <c r="H45" i="2"/>
  <c r="H27" i="2"/>
  <c r="H30" i="2"/>
  <c r="I21" i="2"/>
  <c r="H29" i="2"/>
  <c r="AA12" i="2"/>
  <c r="AA13" i="2" s="1"/>
  <c r="AA14" i="2" s="1"/>
  <c r="R17" i="4" s="1"/>
  <c r="E17" i="4" s="1"/>
  <c r="H25" i="2"/>
  <c r="H43" i="2"/>
  <c r="H26" i="2"/>
  <c r="H20" i="2"/>
  <c r="H42" i="2"/>
  <c r="H17" i="2"/>
  <c r="H41" i="2"/>
  <c r="H32" i="2"/>
  <c r="H15" i="2"/>
  <c r="H36" i="2"/>
  <c r="H21" i="2"/>
  <c r="J21" i="2" s="1"/>
  <c r="H40" i="2"/>
  <c r="H39" i="2"/>
  <c r="H31" i="2"/>
  <c r="H23" i="2"/>
  <c r="H37" i="2"/>
  <c r="H46" i="2"/>
  <c r="H24" i="2"/>
  <c r="H22" i="2"/>
  <c r="H28" i="2"/>
  <c r="H38" i="2"/>
  <c r="R28" i="4"/>
  <c r="R30" i="4"/>
  <c r="R27" i="4"/>
  <c r="R25" i="4"/>
  <c r="R41" i="4"/>
  <c r="R20" i="4"/>
  <c r="H33" i="2"/>
  <c r="H44" i="2"/>
  <c r="H35" i="2"/>
  <c r="O22" i="2"/>
  <c r="L18" i="4"/>
  <c r="M24" i="2"/>
  <c r="K23" i="2"/>
  <c r="I22" i="2"/>
  <c r="L22" i="2"/>
  <c r="P14" i="5"/>
  <c r="N10" i="5"/>
  <c r="P10" i="5" s="1"/>
  <c r="R10" i="5" s="1"/>
  <c r="L22" i="5"/>
  <c r="N7" i="5"/>
  <c r="P7" i="5" s="1"/>
  <c r="R7" i="5" s="1"/>
  <c r="L19" i="5"/>
  <c r="L17" i="5"/>
  <c r="N5" i="5"/>
  <c r="P5" i="5" s="1"/>
  <c r="R5" i="5" s="1"/>
  <c r="N12" i="5"/>
  <c r="L24" i="5"/>
  <c r="N8" i="5"/>
  <c r="P8" i="5" s="1"/>
  <c r="R8" i="5" s="1"/>
  <c r="L20" i="5"/>
  <c r="L21" i="5"/>
  <c r="N9" i="5"/>
  <c r="P9" i="5" s="1"/>
  <c r="P21" i="5" s="1"/>
  <c r="N6" i="5"/>
  <c r="P6" i="5" s="1"/>
  <c r="R6" i="5" s="1"/>
  <c r="L18" i="5"/>
  <c r="N13" i="5"/>
  <c r="P13" i="5" s="1"/>
  <c r="P25" i="5" s="1"/>
  <c r="L25" i="5"/>
  <c r="P11" i="5"/>
  <c r="R11" i="5" s="1"/>
  <c r="L23" i="5"/>
  <c r="K22" i="5"/>
  <c r="K20" i="5"/>
  <c r="K25" i="5"/>
  <c r="K13" i="5"/>
  <c r="H21" i="5"/>
  <c r="K21" i="5" s="1"/>
  <c r="K9" i="5"/>
  <c r="H24" i="5"/>
  <c r="K24" i="5" s="1"/>
  <c r="K12" i="5"/>
  <c r="H17" i="5"/>
  <c r="G24" i="5"/>
  <c r="K10" i="5"/>
  <c r="K7" i="5"/>
  <c r="K19" i="5"/>
  <c r="G17" i="5"/>
  <c r="G19" i="5"/>
  <c r="B10" i="3"/>
  <c r="C10" i="3"/>
  <c r="I10" i="3"/>
  <c r="J10" i="3"/>
  <c r="K10" i="3" s="1"/>
  <c r="R35" i="4" l="1"/>
  <c r="R19" i="4"/>
  <c r="R32" i="4"/>
  <c r="R40" i="4"/>
  <c r="R37" i="4"/>
  <c r="R24" i="4"/>
  <c r="R21" i="4"/>
  <c r="R42" i="4"/>
  <c r="R34" i="4"/>
  <c r="R22" i="4"/>
  <c r="R18" i="4"/>
  <c r="R29" i="4"/>
  <c r="R26" i="4"/>
  <c r="R31" i="4"/>
  <c r="R39" i="4"/>
  <c r="R38" i="4"/>
  <c r="R23" i="4"/>
  <c r="R36" i="4"/>
  <c r="R33" i="4"/>
  <c r="J22" i="2"/>
  <c r="F17" i="4"/>
  <c r="H20" i="1"/>
  <c r="M25" i="2"/>
  <c r="I18" i="4"/>
  <c r="O18" i="4"/>
  <c r="O23" i="2"/>
  <c r="L19" i="4"/>
  <c r="L23" i="2"/>
  <c r="K24" i="2"/>
  <c r="L20" i="4" s="1"/>
  <c r="I23" i="2"/>
  <c r="P17" i="5"/>
  <c r="R13" i="5"/>
  <c r="P22" i="5"/>
  <c r="P19" i="5"/>
  <c r="P20" i="5"/>
  <c r="P23" i="5"/>
  <c r="P18" i="5"/>
  <c r="R9" i="5"/>
  <c r="P24" i="5"/>
  <c r="P26" i="5"/>
  <c r="R26" i="5" s="1"/>
  <c r="S26" i="5" s="1"/>
  <c r="R14" i="5"/>
  <c r="S14" i="5" s="1"/>
  <c r="S8" i="5"/>
  <c r="R20" i="5"/>
  <c r="S20" i="5" s="1"/>
  <c r="S7" i="5"/>
  <c r="R19" i="5"/>
  <c r="S19" i="5" s="1"/>
  <c r="S11" i="5"/>
  <c r="R23" i="5"/>
  <c r="S13" i="5"/>
  <c r="R25" i="5"/>
  <c r="S25" i="5" s="1"/>
  <c r="R17" i="5"/>
  <c r="S17" i="5" s="1"/>
  <c r="S5" i="5"/>
  <c r="S10" i="5"/>
  <c r="R22" i="5"/>
  <c r="S22" i="5" s="1"/>
  <c r="S6" i="5"/>
  <c r="R18" i="5"/>
  <c r="R21" i="5"/>
  <c r="S21" i="5" s="1"/>
  <c r="S9" i="5"/>
  <c r="S12" i="5"/>
  <c r="R24" i="5"/>
  <c r="S24" i="5" s="1"/>
  <c r="O6" i="5"/>
  <c r="N18" i="5"/>
  <c r="O18" i="5" s="1"/>
  <c r="O8" i="5"/>
  <c r="N20" i="5"/>
  <c r="O20" i="5" s="1"/>
  <c r="O5" i="5"/>
  <c r="N17" i="5"/>
  <c r="O17" i="5" s="1"/>
  <c r="O7" i="5"/>
  <c r="N19" i="5"/>
  <c r="O19" i="5" s="1"/>
  <c r="O13" i="5"/>
  <c r="N25" i="5"/>
  <c r="O25" i="5" s="1"/>
  <c r="O12" i="5"/>
  <c r="N24" i="5"/>
  <c r="O24" i="5" s="1"/>
  <c r="N21" i="5"/>
  <c r="O21" i="5" s="1"/>
  <c r="O9" i="5"/>
  <c r="O11" i="5"/>
  <c r="N23" i="5"/>
  <c r="O23" i="5" s="1"/>
  <c r="N22" i="5"/>
  <c r="O22" i="5" s="1"/>
  <c r="O10" i="5"/>
  <c r="K6" i="5"/>
  <c r="K18" i="5"/>
  <c r="K5" i="5"/>
  <c r="I19" i="4" l="1"/>
  <c r="O19" i="4"/>
  <c r="E18" i="4"/>
  <c r="H21" i="1" s="1"/>
  <c r="M26" i="2"/>
  <c r="O24" i="2"/>
  <c r="L24" i="2"/>
  <c r="K25" i="2"/>
  <c r="I24" i="2"/>
  <c r="S23" i="5"/>
  <c r="S18" i="5"/>
  <c r="O25" i="2" l="1"/>
  <c r="L21" i="4"/>
  <c r="I20" i="4"/>
  <c r="O20" i="4"/>
  <c r="M27" i="2"/>
  <c r="F18" i="4"/>
  <c r="I25" i="2"/>
  <c r="L25" i="2"/>
  <c r="K26" i="2"/>
  <c r="L22" i="4" s="1"/>
  <c r="M28" i="2" l="1"/>
  <c r="I21" i="4"/>
  <c r="O21" i="4"/>
  <c r="L26" i="2"/>
  <c r="K27" i="2"/>
  <c r="L23" i="4" s="1"/>
  <c r="I26" i="2"/>
  <c r="O22" i="4" l="1"/>
  <c r="I22" i="4"/>
  <c r="M29" i="2"/>
  <c r="O27" i="2"/>
  <c r="L27" i="2"/>
  <c r="K28" i="2"/>
  <c r="L24" i="4" s="1"/>
  <c r="I27" i="2"/>
  <c r="O23" i="4" l="1"/>
  <c r="I23" i="4"/>
  <c r="M30" i="2"/>
  <c r="O28" i="2"/>
  <c r="L28" i="2"/>
  <c r="K29" i="2"/>
  <c r="L25" i="4" s="1"/>
  <c r="I28" i="2"/>
  <c r="I24" i="4" l="1"/>
  <c r="O24" i="4"/>
  <c r="M31" i="2"/>
  <c r="O29" i="2"/>
  <c r="I29" i="2"/>
  <c r="L29" i="2"/>
  <c r="K30" i="2"/>
  <c r="L26" i="4" s="1"/>
  <c r="M32" i="2" l="1"/>
  <c r="I25" i="4"/>
  <c r="O25" i="4"/>
  <c r="O30" i="2"/>
  <c r="L30" i="2"/>
  <c r="K31" i="2"/>
  <c r="L27" i="4" s="1"/>
  <c r="I30" i="2"/>
  <c r="O26" i="4" l="1"/>
  <c r="I26" i="4"/>
  <c r="M33" i="2"/>
  <c r="O31" i="2"/>
  <c r="L31" i="2"/>
  <c r="K32" i="2"/>
  <c r="L28" i="4" s="1"/>
  <c r="I31" i="2"/>
  <c r="M34" i="2" l="1"/>
  <c r="I27" i="4"/>
  <c r="O27" i="4"/>
  <c r="O32" i="2"/>
  <c r="L32" i="2"/>
  <c r="K33" i="2"/>
  <c r="L29" i="4" s="1"/>
  <c r="I32" i="2"/>
  <c r="I28" i="4" l="1"/>
  <c r="O28" i="4"/>
  <c r="M35" i="2"/>
  <c r="O33" i="2"/>
  <c r="I33" i="2"/>
  <c r="L33" i="2"/>
  <c r="K34" i="2"/>
  <c r="L30" i="4" s="1"/>
  <c r="M36" i="2" l="1"/>
  <c r="O29" i="4"/>
  <c r="I29" i="4"/>
  <c r="O34" i="2"/>
  <c r="L34" i="2"/>
  <c r="K35" i="2"/>
  <c r="L31" i="4" s="1"/>
  <c r="I34" i="2"/>
  <c r="O30" i="4" l="1"/>
  <c r="I30" i="4"/>
  <c r="M37" i="2"/>
  <c r="O35" i="2"/>
  <c r="L35" i="2"/>
  <c r="K36" i="2"/>
  <c r="L32" i="4" s="1"/>
  <c r="I35" i="2"/>
  <c r="O31" i="4" l="1"/>
  <c r="I31" i="4"/>
  <c r="M38" i="2"/>
  <c r="O36" i="2"/>
  <c r="L36" i="2"/>
  <c r="K37" i="2"/>
  <c r="L33" i="4" s="1"/>
  <c r="I36" i="2"/>
  <c r="I32" i="4" l="1"/>
  <c r="O32" i="4"/>
  <c r="M39" i="2"/>
  <c r="O37" i="2"/>
  <c r="L37" i="2"/>
  <c r="K38" i="2"/>
  <c r="L34" i="4" s="1"/>
  <c r="I37" i="2"/>
  <c r="M40" i="2" l="1"/>
  <c r="I33" i="4"/>
  <c r="O33" i="4"/>
  <c r="O38" i="2"/>
  <c r="L38" i="2"/>
  <c r="K39" i="2"/>
  <c r="L35" i="4" s="1"/>
  <c r="I38" i="2"/>
  <c r="I34" i="4" l="1"/>
  <c r="O34" i="4"/>
  <c r="M41" i="2"/>
  <c r="O39" i="2"/>
  <c r="L39" i="2"/>
  <c r="K40" i="2"/>
  <c r="L36" i="4" s="1"/>
  <c r="I39" i="2"/>
  <c r="M42" i="2" l="1"/>
  <c r="I35" i="4"/>
  <c r="O35" i="4"/>
  <c r="O40" i="2"/>
  <c r="L40" i="2"/>
  <c r="K41" i="2"/>
  <c r="L37" i="4" s="1"/>
  <c r="I40" i="2"/>
  <c r="J40" i="2" s="1"/>
  <c r="O36" i="4" l="1"/>
  <c r="I36" i="4"/>
  <c r="M43" i="2"/>
  <c r="O41" i="2"/>
  <c r="L41" i="2"/>
  <c r="K42" i="2"/>
  <c r="L38" i="4" s="1"/>
  <c r="I41" i="2"/>
  <c r="J41" i="2" s="1"/>
  <c r="I37" i="4" l="1"/>
  <c r="O37" i="4"/>
  <c r="M44" i="2"/>
  <c r="O42" i="2"/>
  <c r="L42" i="2"/>
  <c r="K43" i="2"/>
  <c r="L39" i="4" s="1"/>
  <c r="I42" i="2"/>
  <c r="J42" i="2" s="1"/>
  <c r="M45" i="2" l="1"/>
  <c r="O38" i="4"/>
  <c r="I38" i="4"/>
  <c r="O43" i="2"/>
  <c r="L43" i="2"/>
  <c r="K44" i="2"/>
  <c r="L40" i="4" s="1"/>
  <c r="I43" i="2"/>
  <c r="J43" i="2" s="1"/>
  <c r="O39" i="4" l="1"/>
  <c r="I39" i="4"/>
  <c r="M46" i="2"/>
  <c r="O44" i="2"/>
  <c r="L44" i="2"/>
  <c r="K45" i="2"/>
  <c r="I44" i="2"/>
  <c r="J44" i="2" s="1"/>
  <c r="I40" i="4" l="1"/>
  <c r="O40" i="4"/>
  <c r="O45" i="2"/>
  <c r="L41" i="4"/>
  <c r="K46" i="2"/>
  <c r="L45" i="2"/>
  <c r="I45" i="2"/>
  <c r="J45" i="2" s="1"/>
  <c r="O41" i="4" l="1"/>
  <c r="I41" i="4"/>
  <c r="O46" i="2"/>
  <c r="L42" i="4"/>
  <c r="L34" i="1" s="1"/>
  <c r="I46" i="2"/>
  <c r="J46" i="2" s="1"/>
  <c r="L46" i="2"/>
  <c r="I42" i="4" l="1"/>
  <c r="O42" i="4"/>
  <c r="L37" i="1" s="1"/>
  <c r="L33" i="1" l="1"/>
  <c r="B14" i="3" l="1"/>
  <c r="K51" i="3" l="1"/>
  <c r="D40" i="2"/>
  <c r="D41" i="2"/>
  <c r="D42" i="2"/>
  <c r="D43" i="2"/>
  <c r="D44" i="2"/>
  <c r="D45" i="2"/>
  <c r="D46" i="2"/>
  <c r="D20" i="2"/>
  <c r="D18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C15" i="2"/>
  <c r="G42" i="3"/>
  <c r="F42" i="3"/>
  <c r="E42" i="3"/>
  <c r="H37" i="3"/>
  <c r="F43" i="3" l="1"/>
  <c r="F45" i="3"/>
  <c r="F44" i="3"/>
  <c r="G44" i="3"/>
  <c r="G45" i="3"/>
  <c r="G43" i="3"/>
  <c r="E46" i="3"/>
  <c r="E45" i="3"/>
  <c r="D42" i="3"/>
  <c r="E29" i="4"/>
  <c r="F29" i="4" s="1"/>
  <c r="Y20" i="4"/>
  <c r="X14" i="4"/>
  <c r="Y14" i="4"/>
  <c r="E14" i="4"/>
  <c r="E15" i="4"/>
  <c r="F15" i="4" s="1"/>
  <c r="E16" i="4"/>
  <c r="F16" i="4" s="1"/>
  <c r="Y12" i="4"/>
  <c r="Y13" i="4"/>
  <c r="X15" i="4"/>
  <c r="Y17" i="4"/>
  <c r="Y18" i="4"/>
  <c r="Y15" i="4"/>
  <c r="E19" i="4"/>
  <c r="F19" i="4" s="1"/>
  <c r="E20" i="4"/>
  <c r="F20" i="4" s="1"/>
  <c r="E21" i="4"/>
  <c r="F21" i="4" s="1"/>
  <c r="E22" i="4"/>
  <c r="F22" i="4" s="1"/>
  <c r="E23" i="4"/>
  <c r="F23" i="4" s="1"/>
  <c r="E24" i="4"/>
  <c r="F24" i="4" s="1"/>
  <c r="E25" i="4"/>
  <c r="F25" i="4" s="1"/>
  <c r="E26" i="4"/>
  <c r="F26" i="4" s="1"/>
  <c r="E27" i="4"/>
  <c r="F27" i="4" s="1"/>
  <c r="E28" i="4"/>
  <c r="F28" i="4" s="1"/>
  <c r="E30" i="4"/>
  <c r="F30" i="4" s="1"/>
  <c r="E31" i="4"/>
  <c r="F31" i="4" s="1"/>
  <c r="E32" i="4"/>
  <c r="F32" i="4" s="1"/>
  <c r="E33" i="4"/>
  <c r="F33" i="4" s="1"/>
  <c r="E34" i="4"/>
  <c r="F34" i="4" s="1"/>
  <c r="E35" i="4"/>
  <c r="F35" i="4" s="1"/>
  <c r="E36" i="4"/>
  <c r="E37" i="4"/>
  <c r="E38" i="4"/>
  <c r="E39" i="4"/>
  <c r="E40" i="4"/>
  <c r="E41" i="4"/>
  <c r="Y33" i="4"/>
  <c r="Y29" i="4"/>
  <c r="Y26" i="4"/>
  <c r="Y21" i="4"/>
  <c r="Y32" i="4"/>
  <c r="Y25" i="4"/>
  <c r="X16" i="4"/>
  <c r="Y16" i="4"/>
  <c r="Y27" i="4"/>
  <c r="Y24" i="4"/>
  <c r="Y34" i="4"/>
  <c r="Y31" i="4"/>
  <c r="Y30" i="4"/>
  <c r="Y28" i="4"/>
  <c r="Y23" i="4"/>
  <c r="Y19" i="4"/>
  <c r="Y22" i="4"/>
  <c r="C16" i="2"/>
  <c r="Y35" i="4" s="1"/>
  <c r="D47" i="3" l="1"/>
  <c r="D46" i="3"/>
  <c r="H43" i="3"/>
  <c r="X30" i="4"/>
  <c r="G48" i="3"/>
  <c r="F48" i="3"/>
  <c r="F13" i="3"/>
  <c r="F15" i="3"/>
  <c r="F14" i="3"/>
  <c r="H44" i="3"/>
  <c r="I44" i="3" s="1"/>
  <c r="J44" i="3" s="1"/>
  <c r="H45" i="3"/>
  <c r="E48" i="3"/>
  <c r="X29" i="4"/>
  <c r="X37" i="4"/>
  <c r="Y37" i="4"/>
  <c r="X41" i="4"/>
  <c r="X23" i="4"/>
  <c r="X33" i="4"/>
  <c r="Y36" i="4"/>
  <c r="X24" i="4"/>
  <c r="X25" i="4"/>
  <c r="Y41" i="4"/>
  <c r="X39" i="4"/>
  <c r="X19" i="4"/>
  <c r="X27" i="4"/>
  <c r="Y40" i="4"/>
  <c r="X36" i="4"/>
  <c r="X28" i="4"/>
  <c r="X32" i="4"/>
  <c r="X40" i="4"/>
  <c r="X21" i="4"/>
  <c r="F14" i="4"/>
  <c r="F8" i="4" s="1"/>
  <c r="E8" i="4"/>
  <c r="F37" i="4"/>
  <c r="H40" i="1"/>
  <c r="I40" i="1" s="1"/>
  <c r="X38" i="4"/>
  <c r="F40" i="4"/>
  <c r="H43" i="1"/>
  <c r="I43" i="1" s="1"/>
  <c r="F36" i="4"/>
  <c r="H39" i="1"/>
  <c r="I39" i="1" s="1"/>
  <c r="Y38" i="4"/>
  <c r="F41" i="4"/>
  <c r="H44" i="1"/>
  <c r="I44" i="1" s="1"/>
  <c r="F39" i="4"/>
  <c r="H42" i="1"/>
  <c r="I42" i="1" s="1"/>
  <c r="X20" i="4"/>
  <c r="X42" i="4"/>
  <c r="F38" i="4"/>
  <c r="H41" i="1"/>
  <c r="I41" i="1" s="1"/>
  <c r="X31" i="4"/>
  <c r="X34" i="4"/>
  <c r="X26" i="4"/>
  <c r="C17" i="2"/>
  <c r="C18" i="2" s="1"/>
  <c r="C19" i="2" s="1"/>
  <c r="C20" i="2" s="1"/>
  <c r="X17" i="4"/>
  <c r="X18" i="4"/>
  <c r="X22" i="4"/>
  <c r="Y39" i="4"/>
  <c r="X35" i="4"/>
  <c r="I45" i="3" l="1"/>
  <c r="J45" i="3" s="1"/>
  <c r="D48" i="3"/>
  <c r="H46" i="3"/>
  <c r="E12" i="3"/>
  <c r="I12" i="3" s="1"/>
  <c r="M12" i="3" s="1"/>
  <c r="H47" i="3"/>
  <c r="I47" i="3" s="1"/>
  <c r="J47" i="3" s="1"/>
  <c r="E11" i="3"/>
  <c r="I43" i="3"/>
  <c r="J43" i="3" s="1"/>
  <c r="C21" i="2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I14" i="3"/>
  <c r="J14" i="3" s="1"/>
  <c r="K14" i="3" s="1"/>
  <c r="I13" i="3"/>
  <c r="J13" i="3" s="1"/>
  <c r="K13" i="3" s="1"/>
  <c r="H48" i="3" l="1"/>
  <c r="M11" i="3"/>
  <c r="N11" i="3" s="1"/>
  <c r="O11" i="3" s="1"/>
  <c r="I46" i="3"/>
  <c r="I48" i="3" s="1"/>
  <c r="I50" i="3" s="1"/>
  <c r="M10" i="3"/>
  <c r="N10" i="3" s="1"/>
  <c r="O10" i="3" s="1"/>
  <c r="M13" i="3"/>
  <c r="N13" i="3" s="1"/>
  <c r="O13" i="3" s="1"/>
  <c r="M14" i="3"/>
  <c r="N14" i="3" s="1"/>
  <c r="O14" i="3" s="1"/>
  <c r="J46" i="3" l="1"/>
  <c r="K11" i="3"/>
  <c r="I33" i="3" l="1"/>
  <c r="J33" i="3" s="1"/>
  <c r="K33" i="3" s="1"/>
  <c r="C33" i="3"/>
  <c r="B33" i="3"/>
  <c r="I32" i="3"/>
  <c r="J32" i="3" s="1"/>
  <c r="K32" i="3" s="1"/>
  <c r="C32" i="3"/>
  <c r="B32" i="3"/>
  <c r="I31" i="3"/>
  <c r="J31" i="3" s="1"/>
  <c r="K31" i="3" s="1"/>
  <c r="C31" i="3"/>
  <c r="B31" i="3"/>
  <c r="I30" i="3"/>
  <c r="J30" i="3" s="1"/>
  <c r="K30" i="3" s="1"/>
  <c r="C30" i="3"/>
  <c r="B30" i="3"/>
  <c r="I29" i="3"/>
  <c r="J29" i="3" s="1"/>
  <c r="K29" i="3" s="1"/>
  <c r="C29" i="3"/>
  <c r="B29" i="3"/>
  <c r="I28" i="3"/>
  <c r="J28" i="3" s="1"/>
  <c r="K28" i="3" s="1"/>
  <c r="C28" i="3"/>
  <c r="B28" i="3"/>
  <c r="I27" i="3"/>
  <c r="J27" i="3" s="1"/>
  <c r="K27" i="3" s="1"/>
  <c r="C27" i="3"/>
  <c r="B27" i="3"/>
  <c r="I26" i="3"/>
  <c r="J26" i="3" s="1"/>
  <c r="K26" i="3" s="1"/>
  <c r="C26" i="3"/>
  <c r="B26" i="3"/>
  <c r="I25" i="3"/>
  <c r="J25" i="3" s="1"/>
  <c r="K25" i="3" s="1"/>
  <c r="C25" i="3"/>
  <c r="B25" i="3"/>
  <c r="I24" i="3"/>
  <c r="C24" i="3"/>
  <c r="B24" i="3"/>
  <c r="I23" i="3"/>
  <c r="C23" i="3"/>
  <c r="B23" i="3"/>
  <c r="I22" i="3"/>
  <c r="C22" i="3"/>
  <c r="B22" i="3"/>
  <c r="I21" i="3"/>
  <c r="C21" i="3"/>
  <c r="B21" i="3"/>
  <c r="I20" i="3"/>
  <c r="C20" i="3"/>
  <c r="B20" i="3"/>
  <c r="I19" i="3"/>
  <c r="C19" i="3"/>
  <c r="B19" i="3"/>
  <c r="I18" i="3"/>
  <c r="C18" i="3"/>
  <c r="B18" i="3"/>
  <c r="I17" i="3"/>
  <c r="C17" i="3"/>
  <c r="B17" i="3"/>
  <c r="I16" i="3"/>
  <c r="C16" i="3"/>
  <c r="B16" i="3"/>
  <c r="I15" i="3"/>
  <c r="C15" i="3"/>
  <c r="B15" i="3"/>
  <c r="C14" i="3"/>
  <c r="C13" i="3"/>
  <c r="B13" i="3"/>
  <c r="J12" i="3"/>
  <c r="C12" i="3"/>
  <c r="B12" i="3"/>
  <c r="C11" i="3"/>
  <c r="B11" i="3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0" i="2"/>
  <c r="J19" i="2"/>
  <c r="J18" i="2"/>
  <c r="J17" i="2"/>
  <c r="J16" i="2"/>
  <c r="J15" i="2"/>
  <c r="C16" i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B16" i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K12" i="3" l="1"/>
  <c r="M31" i="3"/>
  <c r="N31" i="3" s="1"/>
  <c r="O31" i="3" s="1"/>
  <c r="M15" i="3"/>
  <c r="N15" i="3" s="1"/>
  <c r="O15" i="3" s="1"/>
  <c r="J15" i="3"/>
  <c r="K15" i="3" s="1"/>
  <c r="H15" i="1"/>
  <c r="I15" i="1" s="1"/>
  <c r="N12" i="3"/>
  <c r="O12" i="3" s="1"/>
  <c r="I7" i="3"/>
  <c r="W5" i="4" s="1"/>
  <c r="W8" i="4" s="1"/>
  <c r="V42" i="4" s="1"/>
  <c r="M20" i="3"/>
  <c r="N20" i="3" s="1"/>
  <c r="O20" i="3" s="1"/>
  <c r="M25" i="3"/>
  <c r="N25" i="3" s="1"/>
  <c r="O25" i="3" s="1"/>
  <c r="M33" i="3"/>
  <c r="N33" i="3" s="1"/>
  <c r="O33" i="3" s="1"/>
  <c r="M30" i="3"/>
  <c r="N30" i="3" s="1"/>
  <c r="O30" i="3" s="1"/>
  <c r="M29" i="3"/>
  <c r="N29" i="3" s="1"/>
  <c r="O29" i="3" s="1"/>
  <c r="M21" i="3"/>
  <c r="N21" i="3" s="1"/>
  <c r="O21" i="3" s="1"/>
  <c r="M26" i="3"/>
  <c r="N26" i="3" s="1"/>
  <c r="O26" i="3" s="1"/>
  <c r="M17" i="3"/>
  <c r="N17" i="3" s="1"/>
  <c r="O17" i="3" s="1"/>
  <c r="M16" i="3"/>
  <c r="N16" i="3" s="1"/>
  <c r="O16" i="3" s="1"/>
  <c r="M32" i="3"/>
  <c r="N32" i="3" s="1"/>
  <c r="O32" i="3" s="1"/>
  <c r="M18" i="3"/>
  <c r="N18" i="3" s="1"/>
  <c r="O18" i="3" s="1"/>
  <c r="M28" i="3"/>
  <c r="N28" i="3" s="1"/>
  <c r="O28" i="3" s="1"/>
  <c r="M22" i="3"/>
  <c r="N22" i="3" s="1"/>
  <c r="O22" i="3" s="1"/>
  <c r="M27" i="3"/>
  <c r="N27" i="3" s="1"/>
  <c r="O27" i="3" s="1"/>
  <c r="M23" i="3"/>
  <c r="N23" i="3" s="1"/>
  <c r="O23" i="3" s="1"/>
  <c r="M19" i="3"/>
  <c r="N19" i="3" s="1"/>
  <c r="O19" i="3" s="1"/>
  <c r="M24" i="3"/>
  <c r="N24" i="3" s="1"/>
  <c r="O24" i="3" s="1"/>
  <c r="J24" i="3"/>
  <c r="K24" i="3" s="1"/>
  <c r="J17" i="3"/>
  <c r="K17" i="3" s="1"/>
  <c r="J19" i="3"/>
  <c r="K19" i="3" s="1"/>
  <c r="J21" i="3"/>
  <c r="K21" i="3" s="1"/>
  <c r="J23" i="3"/>
  <c r="K23" i="3" s="1"/>
  <c r="J16" i="3"/>
  <c r="K16" i="3" s="1"/>
  <c r="J18" i="3"/>
  <c r="K18" i="3" s="1"/>
  <c r="J20" i="3"/>
  <c r="K20" i="3" s="1"/>
  <c r="J22" i="3"/>
  <c r="K22" i="3" s="1"/>
  <c r="J7" i="3" l="1"/>
  <c r="K7" i="3"/>
  <c r="E42" i="4"/>
  <c r="Y42" i="4"/>
  <c r="W7" i="4"/>
  <c r="W6" i="4"/>
  <c r="M7" i="3"/>
  <c r="F42" i="4" l="1"/>
  <c r="L36" i="1"/>
  <c r="O7" i="3"/>
  <c r="N7" i="3"/>
  <c r="H45" i="1" l="1"/>
  <c r="I45" i="1" s="1"/>
  <c r="I20" i="1"/>
  <c r="G6" i="1" l="1"/>
  <c r="H16" i="1" l="1"/>
  <c r="I16" i="1" s="1"/>
  <c r="L35" i="1"/>
  <c r="H17" i="1"/>
  <c r="I17" i="1" s="1"/>
  <c r="H23" i="1"/>
  <c r="I23" i="1" s="1"/>
  <c r="H33" i="1"/>
  <c r="I33" i="1" s="1"/>
  <c r="H30" i="1"/>
  <c r="I30" i="1" s="1"/>
  <c r="H29" i="1"/>
  <c r="I29" i="1" s="1"/>
  <c r="H22" i="1"/>
  <c r="I22" i="1" s="1"/>
  <c r="H38" i="1"/>
  <c r="I38" i="1" s="1"/>
  <c r="H25" i="1"/>
  <c r="I25" i="1" s="1"/>
  <c r="H26" i="1"/>
  <c r="I26" i="1" s="1"/>
  <c r="H34" i="1"/>
  <c r="I34" i="1" s="1"/>
  <c r="H19" i="1"/>
  <c r="I19" i="1" s="1"/>
  <c r="H28" i="1"/>
  <c r="I28" i="1" s="1"/>
  <c r="H31" i="1"/>
  <c r="I31" i="1" s="1"/>
  <c r="H32" i="1"/>
  <c r="I32" i="1" s="1"/>
  <c r="H27" i="1"/>
  <c r="I27" i="1" s="1"/>
  <c r="H35" i="1"/>
  <c r="I35" i="1" s="1"/>
  <c r="H24" i="1"/>
  <c r="I24" i="1" s="1"/>
  <c r="H36" i="1"/>
  <c r="I36" i="1" s="1"/>
  <c r="H37" i="1"/>
  <c r="I37" i="1" s="1"/>
  <c r="I21" i="1" l="1"/>
  <c r="H18" i="1"/>
  <c r="I18" i="1" s="1"/>
  <c r="F10" i="1" s="1"/>
  <c r="F7" i="1" l="1"/>
  <c r="E7" i="1"/>
  <c r="G7" i="1" l="1"/>
  <c r="F9" i="1"/>
  <c r="G9" i="1" s="1"/>
</calcChain>
</file>

<file path=xl/sharedStrings.xml><?xml version="1.0" encoding="utf-8"?>
<sst xmlns="http://schemas.openxmlformats.org/spreadsheetml/2006/main" count="380" uniqueCount="238">
  <si>
    <t>Nominal</t>
  </si>
  <si>
    <t>Present</t>
  </si>
  <si>
    <t>$Million</t>
  </si>
  <si>
    <t>Total Costs</t>
  </si>
  <si>
    <t>Total Benefits</t>
  </si>
  <si>
    <t>NPV</t>
  </si>
  <si>
    <t>B/C</t>
  </si>
  <si>
    <t>Costs</t>
  </si>
  <si>
    <t>Benefits</t>
  </si>
  <si>
    <t>Year</t>
  </si>
  <si>
    <t>Nominal $</t>
  </si>
  <si>
    <t>Real $</t>
  </si>
  <si>
    <t>Present $</t>
  </si>
  <si>
    <t>Safety</t>
  </si>
  <si>
    <t>Maint/Residual</t>
  </si>
  <si>
    <t>Assumptions</t>
  </si>
  <si>
    <t>Refer to the accompanying memo for further explanations</t>
  </si>
  <si>
    <t>7% discount rate</t>
  </si>
  <si>
    <t>±</t>
  </si>
  <si>
    <t>Adj Factors</t>
  </si>
  <si>
    <t>Deflator</t>
  </si>
  <si>
    <t>Discount</t>
  </si>
  <si>
    <t>No Build</t>
  </si>
  <si>
    <t>Build</t>
  </si>
  <si>
    <t>Change</t>
  </si>
  <si>
    <t>Location</t>
  </si>
  <si>
    <t>opening year</t>
  </si>
  <si>
    <t>Net</t>
  </si>
  <si>
    <t>Estimated Costs</t>
  </si>
  <si>
    <t>With Uncertainty (F9)</t>
  </si>
  <si>
    <t>Totals:</t>
  </si>
  <si>
    <t>Design/ROW</t>
  </si>
  <si>
    <t>Construction</t>
  </si>
  <si>
    <t>Real</t>
  </si>
  <si>
    <t>Design</t>
  </si>
  <si>
    <t>Total</t>
  </si>
  <si>
    <t>Total:</t>
  </si>
  <si>
    <t>fixed</t>
  </si>
  <si>
    <t>Estimated Benefits</t>
  </si>
  <si>
    <t>Crash Reduction</t>
  </si>
  <si>
    <t>Operations, Maintenance, and Residual Value</t>
  </si>
  <si>
    <t>Value of Time</t>
  </si>
  <si>
    <t>Additional</t>
  </si>
  <si>
    <t>Service Life</t>
  </si>
  <si>
    <t>% Residual</t>
  </si>
  <si>
    <t>Value</t>
  </si>
  <si>
    <t>Estimate</t>
  </si>
  <si>
    <t>Variable</t>
  </si>
  <si>
    <t>Totals</t>
  </si>
  <si>
    <t>/year</t>
  </si>
  <si>
    <t>O &amp; M</t>
  </si>
  <si>
    <t>Residual</t>
  </si>
  <si>
    <t>Real, Discounted, for reference</t>
  </si>
  <si>
    <t>Cost breakdown</t>
  </si>
  <si>
    <t>ROW</t>
  </si>
  <si>
    <t>Utilities</t>
  </si>
  <si>
    <t>Contingency</t>
  </si>
  <si>
    <t>add 20%</t>
  </si>
  <si>
    <t>Performance in Quarters</t>
  </si>
  <si>
    <t>Cost/Quarter</t>
  </si>
  <si>
    <t>y5</t>
  </si>
  <si>
    <t>y4</t>
  </si>
  <si>
    <t>y3</t>
  </si>
  <si>
    <t>y2</t>
  </si>
  <si>
    <t>y1</t>
  </si>
  <si>
    <t>cost schedule</t>
  </si>
  <si>
    <t>total final</t>
  </si>
  <si>
    <t>Con &amp; Utilities</t>
  </si>
  <si>
    <t>all costs include contingency</t>
  </si>
  <si>
    <t>Real (2020$)</t>
  </si>
  <si>
    <t>30-year analysis period</t>
  </si>
  <si>
    <t>nominal 2022$ estimates are deflated to real 2020$ basis</t>
  </si>
  <si>
    <t>Usage Impacts</t>
  </si>
  <si>
    <t>https://nmcdn.io/e186d21f8c7946a19faed23c3da2f0da/8bfec28a290449a7b10eb1fee3a0e264/files/programs-studies/bicycle-and-pedestrian/triangle-bicycle-pedestrian-workshop/Bridging_the_Gap-American_Tobacco_Trail.pdf</t>
  </si>
  <si>
    <t>2020 if built</t>
  </si>
  <si>
    <t>2030 if built</t>
  </si>
  <si>
    <t>2040 if built</t>
  </si>
  <si>
    <t>2050 if built</t>
  </si>
  <si>
    <t/>
  </si>
  <si>
    <t>Surry County, North Carolina</t>
  </si>
  <si>
    <t>Yadkin County, North Carolina</t>
  </si>
  <si>
    <t>Averages</t>
  </si>
  <si>
    <t>percent change based on study</t>
  </si>
  <si>
    <t>value</t>
  </si>
  <si>
    <t>change if build</t>
  </si>
  <si>
    <t>Label</t>
  </si>
  <si>
    <t>30,955</t>
  </si>
  <si>
    <t>16,352</t>
  </si>
  <si>
    <t>Car, truck, or van:</t>
  </si>
  <si>
    <t>29,525</t>
  </si>
  <si>
    <t>15,350</t>
  </si>
  <si>
    <t>Drove alone</t>
  </si>
  <si>
    <t>26,222</t>
  </si>
  <si>
    <t>13,780</t>
  </si>
  <si>
    <t>Carpooled:</t>
  </si>
  <si>
    <t>3,303</t>
  </si>
  <si>
    <t>1,570</t>
  </si>
  <si>
    <t>Public transportation (excluding taxicab):</t>
  </si>
  <si>
    <t>49</t>
  </si>
  <si>
    <t>10</t>
  </si>
  <si>
    <t>Bus</t>
  </si>
  <si>
    <t>Motorcycle</t>
  </si>
  <si>
    <t>9</t>
  </si>
  <si>
    <t>7</t>
  </si>
  <si>
    <t>Bicycle</t>
  </si>
  <si>
    <t>59</t>
  </si>
  <si>
    <t>70</t>
  </si>
  <si>
    <t>Walked</t>
  </si>
  <si>
    <t>277</t>
  </si>
  <si>
    <t>188</t>
  </si>
  <si>
    <t>Other means</t>
  </si>
  <si>
    <t>102</t>
  </si>
  <si>
    <t>13</t>
  </si>
  <si>
    <t>Worked from home</t>
  </si>
  <si>
    <t>907</t>
  </si>
  <si>
    <t>714</t>
  </si>
  <si>
    <t>Surry</t>
  </si>
  <si>
    <t>Yadkin</t>
  </si>
  <si>
    <t>S pop</t>
  </si>
  <si>
    <t>Y pop</t>
  </si>
  <si>
    <t xml:space="preserve">    71,345 </t>
  </si>
  <si>
    <t xml:space="preserve">   37,187 </t>
  </si>
  <si>
    <t xml:space="preserve">    71,074 </t>
  </si>
  <si>
    <t xml:space="preserve">   36,970 </t>
  </si>
  <si>
    <t xml:space="preserve">    71,006 </t>
  </si>
  <si>
    <t xml:space="preserve">   36,947 </t>
  </si>
  <si>
    <t xml:space="preserve">    70,937 </t>
  </si>
  <si>
    <t xml:space="preserve">   36,945 </t>
  </si>
  <si>
    <t xml:space="preserve">    70,868 </t>
  </si>
  <si>
    <t xml:space="preserve">   36,943 </t>
  </si>
  <si>
    <t xml:space="preserve">    70,800 </t>
  </si>
  <si>
    <t xml:space="preserve">    70,733 </t>
  </si>
  <si>
    <t xml:space="preserve">   36,944 </t>
  </si>
  <si>
    <t>% able to drive</t>
  </si>
  <si>
    <t>totals</t>
  </si>
  <si>
    <t>population</t>
  </si>
  <si>
    <t>value if build</t>
  </si>
  <si>
    <t>value change if build</t>
  </si>
  <si>
    <t>Mortality Reduction Benefits of Induced Active Transportation</t>
  </si>
  <si>
    <t xml:space="preserve">Walking </t>
  </si>
  <si>
    <t>Cycling</t>
  </si>
  <si>
    <t>2022 Benefit-Cost Analysis Guidance for Discretionary Grant Programs</t>
  </si>
  <si>
    <t>physical activity risk assumptions generalized from urban area to rural across a 10 year performance period</t>
  </si>
  <si>
    <t>Bicycle $ Value</t>
  </si>
  <si>
    <t>Walk $ Value</t>
  </si>
  <si>
    <t xml:space="preserve">Total  </t>
  </si>
  <si>
    <t>Added If Built Value</t>
  </si>
  <si>
    <t>Dollars</t>
  </si>
  <si>
    <t>Nominal ($2022) adjusted to real $2020 to match costs</t>
  </si>
  <si>
    <t xml:space="preserve">Volume Usage Rates </t>
  </si>
  <si>
    <t>Estimated Using Elkin-Jonesville CTP 2013</t>
  </si>
  <si>
    <t>Intersection 1</t>
  </si>
  <si>
    <t>2010 AADT</t>
  </si>
  <si>
    <t>Annual Rate</t>
  </si>
  <si>
    <t>2040 AADT</t>
  </si>
  <si>
    <t>Capacity</t>
  </si>
  <si>
    <t>Volume</t>
  </si>
  <si>
    <t>Intersection 2</t>
  </si>
  <si>
    <t>Intersection 3</t>
  </si>
  <si>
    <t>Volum</t>
  </si>
  <si>
    <t xml:space="preserve">Volume Usage </t>
  </si>
  <si>
    <t>https://nhts.ornl.gov/vehicle-trips</t>
  </si>
  <si>
    <t>Vehicle Trips</t>
  </si>
  <si>
    <t>Sum</t>
  </si>
  <si>
    <t>2017 pop (US)</t>
  </si>
  <si>
    <t>new users annually for 30 years</t>
  </si>
  <si>
    <t>Real dollars adjusted to 2020 using GDP Deflator</t>
  </si>
  <si>
    <t>Mortality Reduction</t>
  </si>
  <si>
    <r>
      <t>Δ</t>
    </r>
    <r>
      <rPr>
        <sz val="8"/>
        <rFont val="Calibri"/>
        <family val="2"/>
      </rPr>
      <t xml:space="preserve"> +</t>
    </r>
  </si>
  <si>
    <r>
      <rPr>
        <sz val="8"/>
        <rFont val="Segoe UI"/>
        <family val="2"/>
      </rPr>
      <t xml:space="preserve">Δ </t>
    </r>
    <r>
      <rPr>
        <sz val="8"/>
        <rFont val="Calibri"/>
        <family val="2"/>
      </rPr>
      <t xml:space="preserve"> ±</t>
    </r>
  </si>
  <si>
    <t># of cycle users</t>
  </si>
  <si>
    <t># of ped users</t>
  </si>
  <si>
    <t>cycle</t>
  </si>
  <si>
    <t>ped</t>
  </si>
  <si>
    <t>biped change</t>
  </si>
  <si>
    <t>universe</t>
  </si>
  <si>
    <t># of universe users</t>
  </si>
  <si>
    <t>Users change dependent on project</t>
  </si>
  <si>
    <t>Value per user trip</t>
  </si>
  <si>
    <t>bike facilities</t>
  </si>
  <si>
    <t>Benefit Cost Analysis Guidance 2022</t>
  </si>
  <si>
    <t>Ratio of crash costs to congestion on costs</t>
  </si>
  <si>
    <t>&lt;500,000 population</t>
  </si>
  <si>
    <t>City Type</t>
  </si>
  <si>
    <t>ratio</t>
  </si>
  <si>
    <t xml:space="preserve">Crashes vs. Congestion: What's the Cost to Society? AAA, 2011. Figure 3, pg 13. </t>
  </si>
  <si>
    <t>household transportation cost savings</t>
  </si>
  <si>
    <t>Benefit-Cost Analysis Guideance for Discretionary Grant Programs. Table A-5 (2022)</t>
  </si>
  <si>
    <t>all passenger vehicles</t>
  </si>
  <si>
    <t>Household Transportation Cost Savings</t>
  </si>
  <si>
    <t>All</t>
  </si>
  <si>
    <t>cost per trip</t>
  </si>
  <si>
    <t>Value of Reduced Fatalities and Injuries</t>
  </si>
  <si>
    <t>O- No injury</t>
  </si>
  <si>
    <t>C - possible injury</t>
  </si>
  <si>
    <t>B - non-incapacitating injury</t>
  </si>
  <si>
    <t>A - incapacitating</t>
  </si>
  <si>
    <t>K - killed</t>
  </si>
  <si>
    <t>U - Injured (severity unknown)</t>
  </si>
  <si>
    <t># Accidents Reported (unknown if injured)</t>
  </si>
  <si>
    <t>Injury Crash</t>
  </si>
  <si>
    <t>Fatal Crash</t>
  </si>
  <si>
    <t>PDO per vehicle</t>
  </si>
  <si>
    <t>Rural Crash Data Since 2000</t>
  </si>
  <si>
    <t>Jonesville</t>
  </si>
  <si>
    <t>Elkin</t>
  </si>
  <si>
    <t>Jonesville $</t>
  </si>
  <si>
    <t>Elkin $</t>
  </si>
  <si>
    <t>if 30 year</t>
  </si>
  <si>
    <t>annual benefit</t>
  </si>
  <si>
    <t>vehicle miles of travel</t>
  </si>
  <si>
    <t>recommended hourly values of travel time savings per person per hour</t>
  </si>
  <si>
    <t>per hour</t>
  </si>
  <si>
    <t>value per trip</t>
  </si>
  <si>
    <t>Yearly</t>
  </si>
  <si>
    <t>Avereage/user</t>
  </si>
  <si>
    <t>Real 2020$</t>
  </si>
  <si>
    <t>Jonesville Project (N)</t>
  </si>
  <si>
    <t>(vision zero)</t>
  </si>
  <si>
    <t>Connecting</t>
  </si>
  <si>
    <t>Facility Type</t>
  </si>
  <si>
    <t>Recommended Value per Cycling Mile (2020$)</t>
  </si>
  <si>
    <t>Cycling Path with At-Grade Crossings</t>
  </si>
  <si>
    <t>Miles</t>
  </si>
  <si>
    <t>Monetized Value of BiPed Facility</t>
  </si>
  <si>
    <t>Cycle (cap 2.38)</t>
  </si>
  <si>
    <t>Ped (cap .86)</t>
  </si>
  <si>
    <t>Value of BiPed</t>
  </si>
  <si>
    <t>Transportation Cost Saving</t>
  </si>
  <si>
    <t>Preliminary Calculations</t>
  </si>
  <si>
    <t>FEDERAL SHARE OF PROJECT BUDGET (80%)</t>
  </si>
  <si>
    <t>var.</t>
  </si>
  <si>
    <t>Benefits Pie Chart</t>
  </si>
  <si>
    <t>Yadkin River Pedestrian Bridge Project</t>
  </si>
  <si>
    <t>Estimate (2020$)</t>
  </si>
  <si>
    <t>Build Stats Greenway (miles)</t>
  </si>
  <si>
    <t>Health Cost Reduction</t>
  </si>
  <si>
    <t>Multimodal Discretionary Grant Program Benefit-Cost Analysis (BCA)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</si>
</sst>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00"/>
    <numFmt numFmtId="166" formatCode="_(&quot;$&quot;* #,##0.0_);_(&quot;$&quot;* \(#,##0.0\);_(&quot;$&quot;* &quot;-&quot;??_);_(@_)"/>
    <numFmt numFmtId="167" formatCode="0.0%"/>
    <numFmt numFmtId="168" formatCode="#,##0.000"/>
    <numFmt numFmtId="169" formatCode="#,##0.0"/>
    <numFmt numFmtId="170" formatCode="_(* #,##0_);_(* \(#,##0\);_(* &quot;-&quot;??_);_(@_)"/>
    <numFmt numFmtId="171" formatCode="0.000%"/>
    <numFmt numFmtId="172" formatCode="0.0000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10"/>
      <color theme="5" tint="-0.249977111117893"/>
      <name val="Segoe UI"/>
      <family val="2"/>
    </font>
    <font>
      <b/>
      <sz val="10"/>
      <color theme="4" tint="-0.249977111117893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sz val="10"/>
      <name val="Segoe UI"/>
      <family val="2"/>
    </font>
    <font>
      <sz val="9"/>
      <name val="Segoe UI"/>
      <family val="2"/>
    </font>
    <font>
      <sz val="8"/>
      <name val="Segoe UI"/>
      <family val="2"/>
    </font>
    <font>
      <sz val="10"/>
      <name val="Century Gothic"/>
      <family val="2"/>
    </font>
    <font>
      <b/>
      <sz val="10"/>
      <name val="Segoe UI"/>
      <family val="2"/>
    </font>
    <font>
      <b/>
      <sz val="9"/>
      <name val="Segoe UI"/>
      <family val="2"/>
    </font>
    <font>
      <sz val="9"/>
      <name val="Calibri"/>
      <family val="2"/>
    </font>
    <font>
      <i/>
      <sz val="9"/>
      <name val="Segoe UI"/>
      <family val="2"/>
    </font>
    <font>
      <sz val="7"/>
      <name val="Segoe UI"/>
      <family val="2"/>
    </font>
    <font>
      <i/>
      <sz val="8"/>
      <name val="Segoe UI"/>
      <family val="2"/>
    </font>
    <font>
      <sz val="11"/>
      <name val="Calibri"/>
      <family val="2"/>
      <scheme val="minor"/>
    </font>
    <font>
      <i/>
      <sz val="10"/>
      <name val="Segoe UI"/>
      <family val="2"/>
    </font>
    <font>
      <b/>
      <u val="singleAccounting"/>
      <sz val="11"/>
      <name val="Calibri"/>
      <family val="2"/>
      <scheme val="minor"/>
    </font>
    <font>
      <sz val="8"/>
      <name val="Calibri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</font>
    <font>
      <b/>
      <sz val="12"/>
      <color theme="1"/>
      <name val="Arial"/>
      <family val="2"/>
    </font>
    <font>
      <sz val="11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u/>
      <sz val="9"/>
      <name val="Segoe UI"/>
      <family val="2"/>
    </font>
    <font>
      <b/>
      <i/>
      <u/>
      <sz val="9"/>
      <name val="Segoe UI"/>
      <family val="2"/>
    </font>
    <font>
      <b/>
      <i/>
      <u/>
      <sz val="11"/>
      <color theme="1"/>
      <name val="Calibri"/>
      <family val="2"/>
      <scheme val="minor"/>
    </font>
    <font>
      <b/>
      <i/>
      <u/>
      <sz val="11"/>
      <name val="Calibri"/>
      <family val="2"/>
    </font>
    <font>
      <sz val="14"/>
      <name val="Segoe UI"/>
      <family val="2"/>
    </font>
    <font>
      <b/>
      <sz val="11"/>
      <name val="Calibri"/>
      <family val="2"/>
      <scheme val="minor"/>
    </font>
    <font>
      <b/>
      <u/>
      <sz val="12"/>
      <color theme="1"/>
      <name val="Segoe UI"/>
      <family val="2"/>
    </font>
    <font>
      <b/>
      <u/>
      <sz val="10"/>
      <color theme="1"/>
      <name val="Segoe UI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1" tint="0.499984740745262"/>
      </left>
      <right style="dotted">
        <color theme="1" tint="0.499984740745262"/>
      </right>
      <top/>
      <bottom style="dotted">
        <color theme="1" tint="0.499984740745262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theme="1" tint="0.499984740745262"/>
      </left>
      <right style="medium">
        <color indexed="64"/>
      </right>
      <top style="medium">
        <color indexed="64"/>
      </top>
      <bottom/>
      <diagonal/>
    </border>
    <border>
      <left style="dotted">
        <color theme="1" tint="0.499984740745262"/>
      </left>
      <right style="medium">
        <color indexed="64"/>
      </right>
      <top/>
      <bottom/>
      <diagonal/>
    </border>
    <border>
      <left style="dotted">
        <color theme="1" tint="0.499984740745262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dotted">
        <color theme="1" tint="0.499984740745262"/>
      </left>
      <right style="dotted">
        <color theme="1" tint="0.499984740745262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 applyNumberFormat="0" applyFill="0" applyBorder="0" applyAlignment="0" applyProtection="0"/>
  </cellStyleXfs>
  <cellXfs count="517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4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164" fontId="3" fillId="0" borderId="0" xfId="2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0" fontId="0" fillId="0" borderId="1" xfId="0" applyBorder="1"/>
    <xf numFmtId="172" fontId="11" fillId="0" borderId="2" xfId="0" applyNumberFormat="1" applyFont="1" applyFill="1" applyBorder="1"/>
    <xf numFmtId="0" fontId="8" fillId="0" borderId="0" xfId="0" applyFont="1" applyFill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167" fontId="9" fillId="2" borderId="0" xfId="3" applyNumberFormat="1" applyFont="1" applyFill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4" fontId="9" fillId="2" borderId="0" xfId="0" applyNumberFormat="1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1" fontId="8" fillId="0" borderId="0" xfId="0" applyNumberFormat="1" applyFont="1" applyAlignment="1">
      <alignment horizontal="center" vertical="center"/>
    </xf>
    <xf numFmtId="169" fontId="16" fillId="0" borderId="0" xfId="0" applyNumberFormat="1" applyFont="1" applyAlignment="1">
      <alignment horizontal="center" vertical="center"/>
    </xf>
    <xf numFmtId="9" fontId="10" fillId="0" borderId="0" xfId="0" applyNumberFormat="1" applyFont="1" applyAlignment="1">
      <alignment horizontal="left" vertical="center"/>
    </xf>
    <xf numFmtId="164" fontId="8" fillId="0" borderId="0" xfId="2" applyNumberFormat="1" applyFont="1" applyAlignment="1">
      <alignment horizontal="left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164" fontId="19" fillId="0" borderId="0" xfId="0" applyNumberFormat="1" applyFont="1" applyFill="1" applyAlignment="1">
      <alignment horizontal="center" vertical="center"/>
    </xf>
    <xf numFmtId="9" fontId="19" fillId="0" borderId="0" xfId="3" applyNumberFormat="1" applyFont="1" applyAlignment="1">
      <alignment horizontal="right" vertical="center"/>
    </xf>
    <xf numFmtId="0" fontId="18" fillId="0" borderId="1" xfId="0" applyFont="1" applyBorder="1"/>
    <xf numFmtId="44" fontId="18" fillId="0" borderId="1" xfId="0" applyNumberFormat="1" applyFont="1" applyBorder="1"/>
    <xf numFmtId="164" fontId="20" fillId="0" borderId="1" xfId="0" applyNumberFormat="1" applyFont="1" applyBorder="1"/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22" fillId="0" borderId="0" xfId="4" applyAlignment="1">
      <alignment horizontal="center" vertical="center"/>
    </xf>
    <xf numFmtId="0" fontId="0" fillId="0" borderId="0" xfId="0" applyFill="1" applyAlignment="1">
      <alignment wrapText="1"/>
    </xf>
    <xf numFmtId="0" fontId="0" fillId="0" borderId="0" xfId="0" applyFill="1"/>
    <xf numFmtId="0" fontId="23" fillId="0" borderId="9" xfId="0" applyFont="1" applyFill="1" applyBorder="1" applyAlignment="1">
      <alignment horizontal="left" vertical="center" wrapText="1"/>
    </xf>
    <xf numFmtId="0" fontId="23" fillId="0" borderId="10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3" fillId="0" borderId="11" xfId="0" applyFont="1" applyFill="1" applyBorder="1" applyAlignment="1">
      <alignment horizontal="left" vertical="center" wrapText="1"/>
    </xf>
    <xf numFmtId="0" fontId="0" fillId="0" borderId="9" xfId="0" applyFill="1" applyBorder="1" applyAlignment="1">
      <alignment wrapText="1"/>
    </xf>
    <xf numFmtId="0" fontId="0" fillId="0" borderId="10" xfId="0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0" fillId="0" borderId="9" xfId="0" applyFill="1" applyBorder="1" applyAlignment="1">
      <alignment wrapText="1" indent="1"/>
    </xf>
    <xf numFmtId="0" fontId="0" fillId="0" borderId="9" xfId="0" applyFill="1" applyBorder="1" applyAlignment="1">
      <alignment wrapText="1" indent="2"/>
    </xf>
    <xf numFmtId="10" fontId="0" fillId="0" borderId="10" xfId="3" applyNumberFormat="1" applyFont="1" applyFill="1" applyBorder="1" applyAlignment="1">
      <alignment wrapText="1"/>
    </xf>
    <xf numFmtId="10" fontId="0" fillId="0" borderId="1" xfId="3" applyNumberFormat="1" applyFont="1" applyFill="1" applyBorder="1" applyAlignment="1">
      <alignment wrapText="1"/>
    </xf>
    <xf numFmtId="10" fontId="0" fillId="0" borderId="11" xfId="3" applyNumberFormat="1" applyFont="1" applyFill="1" applyBorder="1" applyAlignment="1">
      <alignment wrapText="1"/>
    </xf>
    <xf numFmtId="10" fontId="0" fillId="0" borderId="12" xfId="3" applyNumberFormat="1" applyFont="1" applyFill="1" applyBorder="1" applyAlignment="1">
      <alignment wrapText="1"/>
    </xf>
    <xf numFmtId="10" fontId="0" fillId="0" borderId="13" xfId="3" applyNumberFormat="1" applyFont="1" applyFill="1" applyBorder="1" applyAlignment="1">
      <alignment wrapText="1"/>
    </xf>
    <xf numFmtId="10" fontId="0" fillId="0" borderId="14" xfId="3" applyNumberFormat="1" applyFont="1" applyFill="1" applyBorder="1" applyAlignment="1">
      <alignment wrapText="1"/>
    </xf>
    <xf numFmtId="0" fontId="24" fillId="0" borderId="15" xfId="0" applyFont="1" applyBorder="1" applyAlignment="1">
      <alignment vertical="center"/>
    </xf>
    <xf numFmtId="0" fontId="24" fillId="0" borderId="16" xfId="0" applyFont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25" fillId="0" borderId="17" xfId="0" applyNumberFormat="1" applyFont="1" applyBorder="1" applyAlignment="1">
      <alignment vertical="center"/>
    </xf>
    <xf numFmtId="0" fontId="25" fillId="0" borderId="18" xfId="0" applyNumberFormat="1" applyFont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9" fontId="0" fillId="0" borderId="0" xfId="3" applyFont="1" applyFill="1"/>
    <xf numFmtId="9" fontId="0" fillId="0" borderId="0" xfId="3" applyFont="1" applyFill="1" applyAlignment="1">
      <alignment wrapText="1"/>
    </xf>
    <xf numFmtId="0" fontId="2" fillId="0" borderId="0" xfId="0" applyFont="1" applyFill="1"/>
    <xf numFmtId="2" fontId="2" fillId="0" borderId="0" xfId="0" applyNumberFormat="1" applyFont="1" applyFill="1"/>
    <xf numFmtId="2" fontId="0" fillId="0" borderId="0" xfId="0" applyNumberFormat="1" applyFill="1"/>
    <xf numFmtId="0" fontId="23" fillId="4" borderId="11" xfId="0" applyFont="1" applyFill="1" applyBorder="1" applyAlignment="1">
      <alignment horizontal="left" vertical="center" wrapText="1"/>
    </xf>
    <xf numFmtId="9" fontId="23" fillId="4" borderId="10" xfId="3" applyFont="1" applyFill="1" applyBorder="1" applyAlignment="1">
      <alignment horizontal="left" vertical="center" wrapText="1"/>
    </xf>
    <xf numFmtId="0" fontId="23" fillId="4" borderId="1" xfId="0" applyFont="1" applyFill="1" applyBorder="1" applyAlignment="1">
      <alignment horizontal="left" vertical="center" wrapText="1"/>
    </xf>
    <xf numFmtId="2" fontId="0" fillId="4" borderId="11" xfId="0" applyNumberFormat="1" applyFill="1" applyBorder="1" applyAlignment="1">
      <alignment wrapText="1"/>
    </xf>
    <xf numFmtId="9" fontId="0" fillId="4" borderId="10" xfId="3" applyFont="1" applyFill="1" applyBorder="1"/>
    <xf numFmtId="2" fontId="0" fillId="4" borderId="1" xfId="0" applyNumberFormat="1" applyFill="1" applyBorder="1" applyAlignment="1">
      <alignment wrapText="1"/>
    </xf>
    <xf numFmtId="9" fontId="0" fillId="4" borderId="10" xfId="3" applyFont="1" applyFill="1" applyBorder="1" applyAlignment="1">
      <alignment wrapText="1"/>
    </xf>
    <xf numFmtId="10" fontId="0" fillId="4" borderId="11" xfId="3" applyNumberFormat="1" applyFont="1" applyFill="1" applyBorder="1" applyAlignment="1">
      <alignment wrapText="1"/>
    </xf>
    <xf numFmtId="10" fontId="0" fillId="4" borderId="1" xfId="3" applyNumberFormat="1" applyFont="1" applyFill="1" applyBorder="1" applyAlignment="1">
      <alignment wrapText="1"/>
    </xf>
    <xf numFmtId="10" fontId="0" fillId="4" borderId="14" xfId="3" applyNumberFormat="1" applyFont="1" applyFill="1" applyBorder="1" applyAlignment="1">
      <alignment wrapText="1"/>
    </xf>
    <xf numFmtId="10" fontId="0" fillId="4" borderId="13" xfId="3" applyNumberFormat="1" applyFont="1" applyFill="1" applyBorder="1" applyAlignment="1">
      <alignment wrapText="1"/>
    </xf>
    <xf numFmtId="9" fontId="23" fillId="5" borderId="10" xfId="3" applyFont="1" applyFill="1" applyBorder="1" applyAlignment="1">
      <alignment horizontal="left" vertical="center" wrapText="1"/>
    </xf>
    <xf numFmtId="0" fontId="23" fillId="5" borderId="1" xfId="0" applyFont="1" applyFill="1" applyBorder="1" applyAlignment="1">
      <alignment horizontal="left" vertical="center" wrapText="1"/>
    </xf>
    <xf numFmtId="0" fontId="23" fillId="5" borderId="11" xfId="0" applyFont="1" applyFill="1" applyBorder="1" applyAlignment="1">
      <alignment horizontal="left" vertical="center" wrapText="1"/>
    </xf>
    <xf numFmtId="9" fontId="0" fillId="5" borderId="10" xfId="3" applyFont="1" applyFill="1" applyBorder="1"/>
    <xf numFmtId="2" fontId="0" fillId="5" borderId="1" xfId="0" applyNumberFormat="1" applyFill="1" applyBorder="1" applyAlignment="1">
      <alignment wrapText="1"/>
    </xf>
    <xf numFmtId="2" fontId="0" fillId="5" borderId="11" xfId="0" applyNumberFormat="1" applyFill="1" applyBorder="1" applyAlignment="1">
      <alignment wrapText="1"/>
    </xf>
    <xf numFmtId="9" fontId="0" fillId="5" borderId="10" xfId="3" applyFont="1" applyFill="1" applyBorder="1" applyAlignment="1">
      <alignment wrapText="1"/>
    </xf>
    <xf numFmtId="10" fontId="0" fillId="5" borderId="1" xfId="0" applyNumberFormat="1" applyFill="1" applyBorder="1" applyAlignment="1">
      <alignment wrapText="1"/>
    </xf>
    <xf numFmtId="10" fontId="0" fillId="5" borderId="11" xfId="0" applyNumberFormat="1" applyFill="1" applyBorder="1" applyAlignment="1">
      <alignment wrapText="1"/>
    </xf>
    <xf numFmtId="10" fontId="0" fillId="5" borderId="1" xfId="3" applyNumberFormat="1" applyFont="1" applyFill="1" applyBorder="1" applyAlignment="1">
      <alignment wrapText="1"/>
    </xf>
    <xf numFmtId="10" fontId="0" fillId="5" borderId="11" xfId="3" applyNumberFormat="1" applyFont="1" applyFill="1" applyBorder="1" applyAlignment="1">
      <alignment wrapText="1"/>
    </xf>
    <xf numFmtId="9" fontId="0" fillId="5" borderId="12" xfId="3" applyFont="1" applyFill="1" applyBorder="1" applyAlignment="1">
      <alignment wrapText="1"/>
    </xf>
    <xf numFmtId="10" fontId="0" fillId="5" borderId="13" xfId="3" applyNumberFormat="1" applyFont="1" applyFill="1" applyBorder="1" applyAlignment="1">
      <alignment wrapText="1"/>
    </xf>
    <xf numFmtId="10" fontId="0" fillId="5" borderId="14" xfId="3" applyNumberFormat="1" applyFont="1" applyFill="1" applyBorder="1" applyAlignment="1">
      <alignment wrapText="1"/>
    </xf>
    <xf numFmtId="0" fontId="23" fillId="6" borderId="11" xfId="0" applyFont="1" applyFill="1" applyBorder="1" applyAlignment="1">
      <alignment horizontal="left" vertical="center" wrapText="1"/>
    </xf>
    <xf numFmtId="9" fontId="23" fillId="6" borderId="10" xfId="3" applyFont="1" applyFill="1" applyBorder="1" applyAlignment="1">
      <alignment horizontal="left" vertical="center" wrapText="1"/>
    </xf>
    <xf numFmtId="0" fontId="23" fillId="6" borderId="1" xfId="0" applyFont="1" applyFill="1" applyBorder="1" applyAlignment="1">
      <alignment horizontal="left" vertical="center" wrapText="1"/>
    </xf>
    <xf numFmtId="9" fontId="0" fillId="6" borderId="10" xfId="3" applyFont="1" applyFill="1" applyBorder="1"/>
    <xf numFmtId="2" fontId="0" fillId="6" borderId="1" xfId="0" applyNumberFormat="1" applyFill="1" applyBorder="1" applyAlignment="1">
      <alignment wrapText="1"/>
    </xf>
    <xf numFmtId="2" fontId="0" fillId="6" borderId="11" xfId="0" applyNumberFormat="1" applyFill="1" applyBorder="1" applyAlignment="1">
      <alignment wrapText="1"/>
    </xf>
    <xf numFmtId="9" fontId="0" fillId="6" borderId="10" xfId="3" applyFont="1" applyFill="1" applyBorder="1" applyAlignment="1">
      <alignment wrapText="1"/>
    </xf>
    <xf numFmtId="10" fontId="0" fillId="6" borderId="11" xfId="3" applyNumberFormat="1" applyFont="1" applyFill="1" applyBorder="1" applyAlignment="1">
      <alignment wrapText="1"/>
    </xf>
    <xf numFmtId="10" fontId="0" fillId="6" borderId="1" xfId="3" applyNumberFormat="1" applyFont="1" applyFill="1" applyBorder="1" applyAlignment="1">
      <alignment wrapText="1"/>
    </xf>
    <xf numFmtId="10" fontId="0" fillId="6" borderId="14" xfId="3" applyNumberFormat="1" applyFont="1" applyFill="1" applyBorder="1" applyAlignment="1">
      <alignment wrapText="1"/>
    </xf>
    <xf numFmtId="10" fontId="0" fillId="6" borderId="13" xfId="3" applyNumberFormat="1" applyFont="1" applyFill="1" applyBorder="1" applyAlignment="1">
      <alignment wrapText="1"/>
    </xf>
    <xf numFmtId="0" fontId="23" fillId="7" borderId="11" xfId="0" applyFont="1" applyFill="1" applyBorder="1" applyAlignment="1">
      <alignment horizontal="left" vertical="center" wrapText="1"/>
    </xf>
    <xf numFmtId="9" fontId="23" fillId="7" borderId="10" xfId="3" applyFont="1" applyFill="1" applyBorder="1" applyAlignment="1">
      <alignment horizontal="left" vertical="center" wrapText="1"/>
    </xf>
    <xf numFmtId="0" fontId="23" fillId="7" borderId="1" xfId="0" applyFont="1" applyFill="1" applyBorder="1" applyAlignment="1">
      <alignment horizontal="left" vertical="center" wrapText="1"/>
    </xf>
    <xf numFmtId="9" fontId="0" fillId="7" borderId="10" xfId="3" applyFont="1" applyFill="1" applyBorder="1"/>
    <xf numFmtId="2" fontId="0" fillId="7" borderId="1" xfId="0" applyNumberFormat="1" applyFill="1" applyBorder="1" applyAlignment="1">
      <alignment wrapText="1"/>
    </xf>
    <xf numFmtId="2" fontId="0" fillId="7" borderId="11" xfId="0" applyNumberFormat="1" applyFill="1" applyBorder="1" applyAlignment="1">
      <alignment wrapText="1"/>
    </xf>
    <xf numFmtId="9" fontId="0" fillId="7" borderId="10" xfId="3" applyFont="1" applyFill="1" applyBorder="1" applyAlignment="1">
      <alignment wrapText="1"/>
    </xf>
    <xf numFmtId="10" fontId="0" fillId="7" borderId="11" xfId="3" applyNumberFormat="1" applyFont="1" applyFill="1" applyBorder="1" applyAlignment="1">
      <alignment wrapText="1"/>
    </xf>
    <xf numFmtId="10" fontId="0" fillId="7" borderId="1" xfId="3" applyNumberFormat="1" applyFont="1" applyFill="1" applyBorder="1" applyAlignment="1">
      <alignment wrapText="1"/>
    </xf>
    <xf numFmtId="10" fontId="0" fillId="7" borderId="14" xfId="3" applyNumberFormat="1" applyFont="1" applyFill="1" applyBorder="1" applyAlignment="1">
      <alignment wrapText="1"/>
    </xf>
    <xf numFmtId="10" fontId="0" fillId="7" borderId="13" xfId="3" applyNumberFormat="1" applyFont="1" applyFill="1" applyBorder="1" applyAlignment="1">
      <alignment wrapText="1"/>
    </xf>
    <xf numFmtId="10" fontId="0" fillId="4" borderId="10" xfId="3" applyNumberFormat="1" applyFont="1" applyFill="1" applyBorder="1" applyAlignment="1">
      <alignment wrapText="1"/>
    </xf>
    <xf numFmtId="10" fontId="0" fillId="6" borderId="10" xfId="3" applyNumberFormat="1" applyFont="1" applyFill="1" applyBorder="1" applyAlignment="1">
      <alignment wrapText="1"/>
    </xf>
    <xf numFmtId="10" fontId="0" fillId="7" borderId="10" xfId="3" applyNumberFormat="1" applyFont="1" applyFill="1" applyBorder="1" applyAlignment="1">
      <alignment wrapText="1"/>
    </xf>
    <xf numFmtId="10" fontId="0" fillId="4" borderId="12" xfId="3" applyNumberFormat="1" applyFont="1" applyFill="1" applyBorder="1" applyAlignment="1">
      <alignment wrapText="1"/>
    </xf>
    <xf numFmtId="10" fontId="0" fillId="6" borderId="12" xfId="3" applyNumberFormat="1" applyFont="1" applyFill="1" applyBorder="1" applyAlignment="1">
      <alignment wrapText="1"/>
    </xf>
    <xf numFmtId="10" fontId="0" fillId="7" borderId="12" xfId="3" applyNumberFormat="1" applyFont="1" applyFill="1" applyBorder="1" applyAlignment="1">
      <alignment wrapText="1"/>
    </xf>
    <xf numFmtId="0" fontId="0" fillId="3" borderId="9" xfId="0" applyFill="1" applyBorder="1" applyAlignment="1">
      <alignment wrapText="1" indent="1"/>
    </xf>
    <xf numFmtId="0" fontId="0" fillId="3" borderId="10" xfId="0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3" borderId="11" xfId="0" applyFill="1" applyBorder="1" applyAlignment="1">
      <alignment wrapText="1"/>
    </xf>
    <xf numFmtId="9" fontId="0" fillId="3" borderId="10" xfId="3" applyFont="1" applyFill="1" applyBorder="1" applyAlignment="1">
      <alignment wrapText="1"/>
    </xf>
    <xf numFmtId="2" fontId="0" fillId="3" borderId="1" xfId="0" applyNumberFormat="1" applyFill="1" applyBorder="1" applyAlignment="1">
      <alignment wrapText="1"/>
    </xf>
    <xf numFmtId="2" fontId="0" fillId="3" borderId="11" xfId="0" applyNumberFormat="1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0" fillId="0" borderId="0" xfId="0" applyFill="1" applyBorder="1" applyAlignment="1"/>
    <xf numFmtId="9" fontId="23" fillId="0" borderId="0" xfId="3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left" vertical="center" wrapText="1"/>
    </xf>
    <xf numFmtId="9" fontId="0" fillId="0" borderId="0" xfId="3" applyFont="1" applyFill="1" applyBorder="1" applyAlignment="1">
      <alignment wrapText="1"/>
    </xf>
    <xf numFmtId="2" fontId="0" fillId="0" borderId="0" xfId="0" applyNumberFormat="1" applyFill="1" applyBorder="1" applyAlignment="1">
      <alignment wrapText="1"/>
    </xf>
    <xf numFmtId="0" fontId="23" fillId="8" borderId="1" xfId="0" applyFont="1" applyFill="1" applyBorder="1" applyAlignment="1">
      <alignment horizontal="left" vertical="center" wrapText="1"/>
    </xf>
    <xf numFmtId="2" fontId="0" fillId="8" borderId="1" xfId="0" applyNumberFormat="1" applyFill="1" applyBorder="1" applyAlignment="1">
      <alignment wrapText="1"/>
    </xf>
    <xf numFmtId="2" fontId="0" fillId="6" borderId="0" xfId="0" applyNumberFormat="1" applyFill="1" applyBorder="1" applyAlignment="1">
      <alignment wrapText="1"/>
    </xf>
    <xf numFmtId="0" fontId="23" fillId="8" borderId="0" xfId="0" applyFont="1" applyFill="1" applyBorder="1" applyAlignment="1">
      <alignment horizontal="left" vertical="center" wrapText="1"/>
    </xf>
    <xf numFmtId="2" fontId="0" fillId="8" borderId="0" xfId="0" applyNumberFormat="1" applyFill="1" applyBorder="1" applyAlignment="1">
      <alignment wrapText="1"/>
    </xf>
    <xf numFmtId="2" fontId="26" fillId="4" borderId="1" xfId="0" applyNumberFormat="1" applyFont="1" applyFill="1" applyBorder="1" applyAlignment="1">
      <alignment wrapText="1"/>
    </xf>
    <xf numFmtId="2" fontId="26" fillId="7" borderId="1" xfId="0" applyNumberFormat="1" applyFont="1" applyFill="1" applyBorder="1" applyAlignment="1">
      <alignment wrapText="1"/>
    </xf>
    <xf numFmtId="2" fontId="26" fillId="6" borderId="1" xfId="0" applyNumberFormat="1" applyFont="1" applyFill="1" applyBorder="1" applyAlignment="1">
      <alignment wrapText="1"/>
    </xf>
    <xf numFmtId="2" fontId="26" fillId="8" borderId="1" xfId="0" applyNumberFormat="1" applyFont="1" applyFill="1" applyBorder="1" applyAlignment="1">
      <alignment wrapText="1"/>
    </xf>
    <xf numFmtId="172" fontId="11" fillId="0" borderId="0" xfId="0" applyNumberFormat="1" applyFont="1" applyFill="1" applyBorder="1"/>
    <xf numFmtId="0" fontId="0" fillId="0" borderId="1" xfId="0" applyFill="1" applyBorder="1"/>
    <xf numFmtId="44" fontId="0" fillId="0" borderId="1" xfId="2" applyFont="1" applyBorder="1"/>
    <xf numFmtId="0" fontId="0" fillId="0" borderId="0" xfId="0" applyFill="1" applyBorder="1" applyAlignment="1">
      <alignment wrapText="1"/>
    </xf>
    <xf numFmtId="2" fontId="26" fillId="7" borderId="0" xfId="0" applyNumberFormat="1" applyFont="1" applyFill="1" applyBorder="1" applyAlignment="1">
      <alignment wrapText="1"/>
    </xf>
    <xf numFmtId="2" fontId="0" fillId="7" borderId="0" xfId="0" applyNumberFormat="1" applyFill="1" applyBorder="1" applyAlignment="1">
      <alignment wrapText="1"/>
    </xf>
    <xf numFmtId="2" fontId="26" fillId="4" borderId="0" xfId="0" applyNumberFormat="1" applyFont="1" applyFill="1" applyBorder="1" applyAlignment="1">
      <alignment wrapText="1"/>
    </xf>
    <xf numFmtId="2" fontId="0" fillId="4" borderId="0" xfId="0" applyNumberFormat="1" applyFill="1" applyBorder="1" applyAlignment="1">
      <alignment wrapText="1"/>
    </xf>
    <xf numFmtId="2" fontId="26" fillId="6" borderId="0" xfId="0" applyNumberFormat="1" applyFont="1" applyFill="1" applyBorder="1" applyAlignment="1">
      <alignment wrapText="1"/>
    </xf>
    <xf numFmtId="2" fontId="26" fillId="8" borderId="0" xfId="0" applyNumberFormat="1" applyFont="1" applyFill="1" applyBorder="1" applyAlignment="1">
      <alignment wrapText="1"/>
    </xf>
    <xf numFmtId="0" fontId="0" fillId="0" borderId="13" xfId="0" applyFill="1" applyBorder="1" applyAlignment="1">
      <alignment wrapText="1"/>
    </xf>
    <xf numFmtId="2" fontId="26" fillId="7" borderId="13" xfId="0" applyNumberFormat="1" applyFont="1" applyFill="1" applyBorder="1" applyAlignment="1">
      <alignment wrapText="1"/>
    </xf>
    <xf numFmtId="2" fontId="0" fillId="7" borderId="13" xfId="0" applyNumberFormat="1" applyFill="1" applyBorder="1" applyAlignment="1">
      <alignment wrapText="1"/>
    </xf>
    <xf numFmtId="2" fontId="26" fillId="4" borderId="13" xfId="0" applyNumberFormat="1" applyFont="1" applyFill="1" applyBorder="1" applyAlignment="1">
      <alignment wrapText="1"/>
    </xf>
    <xf numFmtId="2" fontId="0" fillId="4" borderId="13" xfId="0" applyNumberFormat="1" applyFill="1" applyBorder="1" applyAlignment="1">
      <alignment wrapText="1"/>
    </xf>
    <xf numFmtId="2" fontId="26" fillId="6" borderId="13" xfId="0" applyNumberFormat="1" applyFont="1" applyFill="1" applyBorder="1" applyAlignment="1">
      <alignment wrapText="1"/>
    </xf>
    <xf numFmtId="2" fontId="0" fillId="6" borderId="13" xfId="0" applyNumberFormat="1" applyFill="1" applyBorder="1" applyAlignment="1">
      <alignment wrapText="1"/>
    </xf>
    <xf numFmtId="2" fontId="26" fillId="8" borderId="13" xfId="0" applyNumberFormat="1" applyFont="1" applyFill="1" applyBorder="1" applyAlignment="1">
      <alignment wrapText="1"/>
    </xf>
    <xf numFmtId="2" fontId="0" fillId="8" borderId="13" xfId="0" applyNumberFormat="1" applyFill="1" applyBorder="1" applyAlignment="1">
      <alignment wrapText="1"/>
    </xf>
    <xf numFmtId="0" fontId="29" fillId="0" borderId="0" xfId="0" applyFont="1" applyFill="1" applyBorder="1" applyAlignment="1"/>
    <xf numFmtId="0" fontId="29" fillId="0" borderId="0" xfId="0" applyFont="1" applyFill="1" applyBorder="1" applyAlignment="1">
      <alignment wrapText="1"/>
    </xf>
    <xf numFmtId="9" fontId="30" fillId="0" borderId="0" xfId="3" applyFont="1" applyFill="1" applyBorder="1" applyAlignment="1">
      <alignment horizontal="left" vertical="center" wrapText="1"/>
    </xf>
    <xf numFmtId="2" fontId="29" fillId="0" borderId="0" xfId="2" applyNumberFormat="1" applyFont="1" applyFill="1" applyBorder="1" applyAlignment="1">
      <alignment wrapText="1"/>
    </xf>
    <xf numFmtId="2" fontId="29" fillId="0" borderId="0" xfId="3" applyNumberFormat="1" applyFont="1" applyFill="1" applyBorder="1" applyAlignment="1">
      <alignment wrapText="1"/>
    </xf>
    <xf numFmtId="0" fontId="10" fillId="0" borderId="6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169" fontId="16" fillId="3" borderId="0" xfId="0" applyNumberFormat="1" applyFont="1" applyFill="1" applyAlignment="1">
      <alignment horizontal="center" vertical="center"/>
    </xf>
    <xf numFmtId="0" fontId="0" fillId="0" borderId="25" xfId="0" applyBorder="1"/>
    <xf numFmtId="44" fontId="0" fillId="0" borderId="25" xfId="2" applyFont="1" applyBorder="1"/>
    <xf numFmtId="0" fontId="0" fillId="0" borderId="26" xfId="0" applyBorder="1"/>
    <xf numFmtId="44" fontId="0" fillId="0" borderId="27" xfId="2" applyFont="1" applyBorder="1"/>
    <xf numFmtId="0" fontId="0" fillId="0" borderId="10" xfId="0" applyBorder="1"/>
    <xf numFmtId="44" fontId="0" fillId="0" borderId="11" xfId="2" applyFont="1" applyBorder="1"/>
    <xf numFmtId="0" fontId="0" fillId="0" borderId="12" xfId="0" applyBorder="1"/>
    <xf numFmtId="44" fontId="0" fillId="0" borderId="14" xfId="2" applyFont="1" applyBorder="1"/>
    <xf numFmtId="0" fontId="9" fillId="2" borderId="6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44" fontId="8" fillId="0" borderId="6" xfId="0" applyNumberFormat="1" applyFont="1" applyBorder="1" applyAlignment="1">
      <alignment horizontal="center" vertical="center"/>
    </xf>
    <xf numFmtId="44" fontId="8" fillId="0" borderId="7" xfId="0" applyNumberFormat="1" applyFont="1" applyBorder="1" applyAlignment="1">
      <alignment horizontal="center" vertical="center"/>
    </xf>
    <xf numFmtId="44" fontId="8" fillId="0" borderId="8" xfId="0" applyNumberFormat="1" applyFont="1" applyBorder="1" applyAlignment="1">
      <alignment horizontal="center" vertical="center"/>
    </xf>
    <xf numFmtId="44" fontId="8" fillId="0" borderId="22" xfId="0" applyNumberFormat="1" applyFont="1" applyBorder="1" applyAlignment="1">
      <alignment horizontal="center" vertical="center"/>
    </xf>
    <xf numFmtId="44" fontId="8" fillId="0" borderId="0" xfId="0" applyNumberFormat="1" applyFont="1" applyBorder="1" applyAlignment="1">
      <alignment horizontal="center" vertical="center"/>
    </xf>
    <xf numFmtId="44" fontId="8" fillId="0" borderId="23" xfId="0" applyNumberFormat="1" applyFont="1" applyBorder="1" applyAlignment="1">
      <alignment horizontal="center" vertical="center"/>
    </xf>
    <xf numFmtId="44" fontId="8" fillId="0" borderId="18" xfId="0" applyNumberFormat="1" applyFont="1" applyBorder="1" applyAlignment="1">
      <alignment horizontal="center" vertical="center"/>
    </xf>
    <xf numFmtId="44" fontId="8" fillId="0" borderId="24" xfId="0" applyNumberFormat="1" applyFont="1" applyBorder="1" applyAlignment="1">
      <alignment horizontal="center" vertical="center"/>
    </xf>
    <xf numFmtId="44" fontId="8" fillId="0" borderId="28" xfId="0" applyNumberFormat="1" applyFont="1" applyBorder="1" applyAlignment="1">
      <alignment horizontal="center" vertical="center"/>
    </xf>
    <xf numFmtId="8" fontId="8" fillId="0" borderId="0" xfId="0" applyNumberFormat="1" applyFont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0" fillId="8" borderId="0" xfId="0" applyFill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right"/>
    </xf>
    <xf numFmtId="0" fontId="8" fillId="0" borderId="0" xfId="0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8" fillId="0" borderId="0" xfId="2" applyNumberFormat="1" applyFont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65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quotePrefix="1" applyFont="1" applyFill="1" applyAlignment="1">
      <alignment horizontal="center" vertical="center"/>
    </xf>
    <xf numFmtId="0" fontId="0" fillId="9" borderId="1" xfId="0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6" borderId="20" xfId="0" applyFill="1" applyBorder="1" applyAlignment="1">
      <alignment horizontal="center"/>
    </xf>
    <xf numFmtId="0" fontId="0" fillId="7" borderId="20" xfId="0" applyFill="1" applyBorder="1" applyAlignment="1">
      <alignment horizontal="center"/>
    </xf>
    <xf numFmtId="0" fontId="0" fillId="5" borderId="3" xfId="0" applyFill="1" applyBorder="1" applyAlignment="1">
      <alignment horizontal="center" wrapText="1"/>
    </xf>
    <xf numFmtId="0" fontId="0" fillId="5" borderId="4" xfId="0" applyFill="1" applyBorder="1" applyAlignment="1">
      <alignment horizontal="center" wrapText="1"/>
    </xf>
    <xf numFmtId="0" fontId="0" fillId="5" borderId="5" xfId="0" applyFill="1" applyBorder="1" applyAlignment="1">
      <alignment horizontal="center" wrapText="1"/>
    </xf>
    <xf numFmtId="0" fontId="0" fillId="4" borderId="19" xfId="0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7" borderId="1" xfId="0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6" borderId="1" xfId="0" applyFill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top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8" fillId="0" borderId="28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11" fillId="10" borderId="29" xfId="0" applyFont="1" applyFill="1" applyBorder="1" applyAlignment="1">
      <alignment vertical="top" wrapText="1"/>
    </xf>
    <xf numFmtId="0" fontId="8" fillId="0" borderId="22" xfId="0" applyFont="1" applyBorder="1" applyAlignment="1">
      <alignment horizontal="left" vertical="center"/>
    </xf>
    <xf numFmtId="0" fontId="18" fillId="10" borderId="30" xfId="0" applyFont="1" applyFill="1" applyBorder="1" applyAlignment="1">
      <alignment vertical="top" wrapText="1"/>
    </xf>
    <xf numFmtId="0" fontId="18" fillId="10" borderId="31" xfId="0" applyFont="1" applyFill="1" applyBorder="1" applyAlignment="1">
      <alignment vertical="top" wrapText="1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22" xfId="0" applyFont="1" applyBorder="1" applyAlignment="1">
      <alignment horizontal="center" vertical="center" wrapText="1"/>
    </xf>
    <xf numFmtId="8" fontId="8" fillId="0" borderId="0" xfId="0" applyNumberFormat="1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 wrapText="1"/>
    </xf>
    <xf numFmtId="8" fontId="8" fillId="0" borderId="28" xfId="0" applyNumberFormat="1" applyFont="1" applyBorder="1" applyAlignment="1">
      <alignment horizontal="center" vertical="center"/>
    </xf>
    <xf numFmtId="0" fontId="22" fillId="0" borderId="6" xfId="4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43" fontId="9" fillId="0" borderId="0" xfId="1" applyFont="1" applyBorder="1" applyAlignment="1">
      <alignment horizontal="center" vertical="center"/>
    </xf>
    <xf numFmtId="43" fontId="8" fillId="0" borderId="0" xfId="0" applyNumberFormat="1" applyFont="1" applyBorder="1" applyAlignment="1">
      <alignment horizontal="center" vertical="center"/>
    </xf>
    <xf numFmtId="43" fontId="13" fillId="0" borderId="0" xfId="1" applyFont="1" applyBorder="1" applyAlignment="1">
      <alignment horizontal="center" vertical="center"/>
    </xf>
    <xf numFmtId="43" fontId="9" fillId="0" borderId="0" xfId="0" applyNumberFormat="1" applyFont="1" applyBorder="1" applyAlignment="1">
      <alignment horizontal="center" vertical="center"/>
    </xf>
    <xf numFmtId="43" fontId="9" fillId="0" borderId="23" xfId="0" applyNumberFormat="1" applyFont="1" applyBorder="1" applyAlignment="1">
      <alignment horizontal="center" vertical="center"/>
    </xf>
    <xf numFmtId="0" fontId="9" fillId="0" borderId="22" xfId="0" applyFont="1" applyBorder="1" applyAlignment="1">
      <alignment horizontal="left" vertical="center"/>
    </xf>
    <xf numFmtId="0" fontId="9" fillId="0" borderId="24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43" fontId="9" fillId="0" borderId="18" xfId="0" applyNumberFormat="1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27" fillId="0" borderId="22" xfId="0" applyFont="1" applyFill="1" applyBorder="1" applyAlignment="1">
      <alignment horizontal="center" vertical="center"/>
    </xf>
    <xf numFmtId="44" fontId="27" fillId="0" borderId="23" xfId="0" applyNumberFormat="1" applyFont="1" applyBorder="1" applyAlignment="1">
      <alignment horizontal="center" vertical="center"/>
    </xf>
    <xf numFmtId="0" fontId="27" fillId="0" borderId="24" xfId="0" applyFont="1" applyFill="1" applyBorder="1" applyAlignment="1">
      <alignment horizontal="center" vertical="center"/>
    </xf>
    <xf numFmtId="44" fontId="27" fillId="0" borderId="18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14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0" fillId="0" borderId="32" xfId="0" applyBorder="1"/>
    <xf numFmtId="0" fontId="0" fillId="0" borderId="33" xfId="0" applyBorder="1"/>
    <xf numFmtId="0" fontId="8" fillId="0" borderId="22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2" fontId="10" fillId="0" borderId="0" xfId="0" applyNumberFormat="1" applyFont="1" applyFill="1" applyAlignment="1">
      <alignment horizontal="center" vertical="center"/>
    </xf>
    <xf numFmtId="4" fontId="9" fillId="0" borderId="0" xfId="0" applyNumberFormat="1" applyFont="1" applyFill="1" applyAlignment="1">
      <alignment horizontal="right" vertical="center" indent="1"/>
    </xf>
    <xf numFmtId="4" fontId="9" fillId="0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6" fontId="9" fillId="2" borderId="0" xfId="0" applyNumberFormat="1" applyFont="1" applyFill="1" applyBorder="1" applyAlignment="1">
      <alignment horizontal="right" vertical="center"/>
    </xf>
    <xf numFmtId="4" fontId="10" fillId="2" borderId="0" xfId="0" applyNumberFormat="1" applyFont="1" applyFill="1" applyBorder="1" applyAlignment="1">
      <alignment horizontal="left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 wrapText="1"/>
    </xf>
    <xf numFmtId="170" fontId="9" fillId="2" borderId="0" xfId="1" applyNumberFormat="1" applyFont="1" applyFill="1" applyBorder="1" applyAlignment="1">
      <alignment horizontal="right" vertical="center" indent="1"/>
    </xf>
    <xf numFmtId="170" fontId="9" fillId="2" borderId="0" xfId="1" applyNumberFormat="1" applyFont="1" applyFill="1" applyBorder="1" applyAlignment="1">
      <alignment horizontal="center" vertical="center"/>
    </xf>
    <xf numFmtId="2" fontId="9" fillId="2" borderId="23" xfId="0" applyNumberFormat="1" applyFont="1" applyFill="1" applyBorder="1" applyAlignment="1">
      <alignment horizontal="center" vertical="center"/>
    </xf>
    <xf numFmtId="0" fontId="9" fillId="2" borderId="0" xfId="1" applyNumberFormat="1" applyFont="1" applyFill="1" applyBorder="1" applyAlignment="1">
      <alignment horizontal="center" vertical="center"/>
    </xf>
    <xf numFmtId="165" fontId="9" fillId="2" borderId="23" xfId="0" applyNumberFormat="1" applyFont="1" applyFill="1" applyBorder="1" applyAlignment="1">
      <alignment horizontal="center" vertical="center"/>
    </xf>
    <xf numFmtId="170" fontId="9" fillId="2" borderId="28" xfId="0" applyNumberFormat="1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2" fontId="9" fillId="2" borderId="18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3" fontId="9" fillId="0" borderId="22" xfId="0" applyNumberFormat="1" applyFont="1" applyBorder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/>
    </xf>
    <xf numFmtId="4" fontId="9" fillId="0" borderId="24" xfId="0" applyNumberFormat="1" applyFont="1" applyBorder="1" applyAlignment="1">
      <alignment horizontal="center" vertical="center"/>
    </xf>
    <xf numFmtId="4" fontId="9" fillId="0" borderId="28" xfId="0" applyNumberFormat="1" applyFont="1" applyBorder="1" applyAlignment="1">
      <alignment horizontal="center" vertical="center"/>
    </xf>
    <xf numFmtId="4" fontId="9" fillId="0" borderId="18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8" fillId="0" borderId="7" xfId="0" applyFont="1" applyFill="1" applyBorder="1" applyAlignment="1">
      <alignment horizontal="center" vertical="center"/>
    </xf>
    <xf numFmtId="0" fontId="10" fillId="0" borderId="22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28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/>
    </xf>
    <xf numFmtId="165" fontId="8" fillId="0" borderId="0" xfId="0" applyNumberFormat="1" applyFont="1" applyFill="1" applyBorder="1" applyAlignment="1">
      <alignment horizontal="right" vertical="center"/>
    </xf>
    <xf numFmtId="165" fontId="8" fillId="0" borderId="23" xfId="0" applyNumberFormat="1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 wrapText="1"/>
    </xf>
    <xf numFmtId="1" fontId="8" fillId="0" borderId="22" xfId="0" applyNumberFormat="1" applyFont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172" fontId="11" fillId="0" borderId="34" xfId="0" applyNumberFormat="1" applyFont="1" applyFill="1" applyBorder="1"/>
    <xf numFmtId="165" fontId="8" fillId="0" borderId="18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3" fontId="9" fillId="0" borderId="0" xfId="0" applyNumberFormat="1" applyFont="1" applyBorder="1" applyAlignment="1">
      <alignment horizontal="center" vertical="center"/>
    </xf>
    <xf numFmtId="168" fontId="9" fillId="0" borderId="0" xfId="0" applyNumberFormat="1" applyFont="1" applyBorder="1" applyAlignment="1">
      <alignment horizontal="center" vertical="center"/>
    </xf>
    <xf numFmtId="1" fontId="9" fillId="0" borderId="0" xfId="0" applyNumberFormat="1" applyFont="1" applyBorder="1" applyAlignment="1">
      <alignment horizontal="center" vertical="center"/>
    </xf>
    <xf numFmtId="1" fontId="9" fillId="0" borderId="23" xfId="0" applyNumberFormat="1" applyFont="1" applyBorder="1" applyAlignment="1">
      <alignment horizontal="center" vertical="center"/>
    </xf>
    <xf numFmtId="3" fontId="9" fillId="0" borderId="24" xfId="0" applyNumberFormat="1" applyFont="1" applyBorder="1" applyAlignment="1">
      <alignment horizontal="center" vertical="center"/>
    </xf>
    <xf numFmtId="168" fontId="9" fillId="0" borderId="28" xfId="0" applyNumberFormat="1" applyFont="1" applyBorder="1" applyAlignment="1">
      <alignment horizontal="center" vertical="center"/>
    </xf>
    <xf numFmtId="43" fontId="9" fillId="0" borderId="28" xfId="0" applyNumberFormat="1" applyFont="1" applyBorder="1" applyAlignment="1">
      <alignment horizontal="center" vertical="center"/>
    </xf>
    <xf numFmtId="1" fontId="9" fillId="0" borderId="28" xfId="0" applyNumberFormat="1" applyFont="1" applyBorder="1" applyAlignment="1">
      <alignment horizontal="center" vertical="center"/>
    </xf>
    <xf numFmtId="1" fontId="9" fillId="0" borderId="18" xfId="0" applyNumberFormat="1" applyFont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/>
    </xf>
    <xf numFmtId="0" fontId="9" fillId="0" borderId="35" xfId="0" applyFont="1" applyFill="1" applyBorder="1" applyAlignment="1">
      <alignment horizontal="center" vertical="center" wrapText="1"/>
    </xf>
    <xf numFmtId="0" fontId="9" fillId="0" borderId="36" xfId="0" applyFont="1" applyFill="1" applyBorder="1" applyAlignment="1">
      <alignment horizontal="center" vertical="center" wrapText="1"/>
    </xf>
    <xf numFmtId="0" fontId="8" fillId="0" borderId="36" xfId="0" applyNumberFormat="1" applyFont="1" applyBorder="1" applyAlignment="1">
      <alignment horizontal="center" vertical="center"/>
    </xf>
    <xf numFmtId="43" fontId="8" fillId="0" borderId="36" xfId="0" applyNumberFormat="1" applyFont="1" applyBorder="1" applyAlignment="1">
      <alignment horizontal="center" vertical="center"/>
    </xf>
    <xf numFmtId="43" fontId="8" fillId="0" borderId="17" xfId="0" applyNumberFormat="1" applyFont="1" applyBorder="1" applyAlignment="1">
      <alignment horizontal="center" vertical="center"/>
    </xf>
    <xf numFmtId="3" fontId="10" fillId="0" borderId="7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8" fontId="10" fillId="0" borderId="7" xfId="0" applyNumberFormat="1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10" fontId="10" fillId="0" borderId="0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3" fontId="10" fillId="0" borderId="0" xfId="1" applyNumberFormat="1" applyFont="1" applyBorder="1" applyAlignment="1">
      <alignment horizontal="center" vertical="center"/>
    </xf>
    <xf numFmtId="171" fontId="10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8" fontId="10" fillId="0" borderId="0" xfId="0" applyNumberFormat="1" applyFont="1" applyBorder="1" applyAlignment="1">
      <alignment horizontal="center" vertical="center"/>
    </xf>
    <xf numFmtId="9" fontId="10" fillId="0" borderId="0" xfId="3" applyFont="1" applyBorder="1" applyAlignment="1">
      <alignment horizontal="center" vertical="center"/>
    </xf>
    <xf numFmtId="44" fontId="10" fillId="0" borderId="0" xfId="2" applyFont="1" applyBorder="1" applyAlignment="1">
      <alignment horizontal="center" vertical="center"/>
    </xf>
    <xf numFmtId="164" fontId="10" fillId="0" borderId="0" xfId="2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10" fontId="10" fillId="0" borderId="0" xfId="3" applyNumberFormat="1" applyFont="1" applyBorder="1" applyAlignment="1">
      <alignment horizontal="center" vertical="center"/>
    </xf>
    <xf numFmtId="164" fontId="8" fillId="0" borderId="0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164" fontId="8" fillId="0" borderId="0" xfId="2" applyNumberFormat="1" applyFont="1" applyBorder="1" applyAlignment="1">
      <alignment horizontal="center" vertical="center"/>
    </xf>
    <xf numFmtId="9" fontId="10" fillId="0" borderId="0" xfId="0" applyNumberFormat="1" applyFont="1" applyBorder="1" applyAlignment="1">
      <alignment horizontal="center" vertical="center"/>
    </xf>
    <xf numFmtId="164" fontId="10" fillId="0" borderId="0" xfId="0" applyNumberFormat="1" applyFont="1" applyBorder="1" applyAlignment="1">
      <alignment horizontal="center" vertical="center"/>
    </xf>
    <xf numFmtId="164" fontId="17" fillId="0" borderId="0" xfId="0" applyNumberFormat="1" applyFont="1" applyBorder="1" applyAlignment="1">
      <alignment horizontal="center" vertical="center"/>
    </xf>
    <xf numFmtId="164" fontId="17" fillId="0" borderId="23" xfId="0" applyNumberFormat="1" applyFont="1" applyBorder="1" applyAlignment="1">
      <alignment horizontal="center" vertical="center"/>
    </xf>
    <xf numFmtId="44" fontId="8" fillId="0" borderId="0" xfId="2" applyNumberFormat="1" applyFont="1" applyBorder="1" applyAlignment="1">
      <alignment horizontal="center" vertical="center"/>
    </xf>
    <xf numFmtId="44" fontId="17" fillId="0" borderId="0" xfId="0" applyNumberFormat="1" applyFont="1" applyBorder="1" applyAlignment="1">
      <alignment horizontal="center" vertical="center"/>
    </xf>
    <xf numFmtId="44" fontId="8" fillId="0" borderId="28" xfId="2" applyNumberFormat="1" applyFont="1" applyBorder="1" applyAlignment="1">
      <alignment horizontal="center" vertical="center"/>
    </xf>
    <xf numFmtId="164" fontId="8" fillId="0" borderId="28" xfId="2" applyNumberFormat="1" applyFont="1" applyBorder="1" applyAlignment="1">
      <alignment horizontal="center" vertical="center"/>
    </xf>
    <xf numFmtId="164" fontId="10" fillId="0" borderId="28" xfId="2" applyNumberFormat="1" applyFont="1" applyBorder="1" applyAlignment="1">
      <alignment horizontal="center" vertical="center"/>
    </xf>
    <xf numFmtId="164" fontId="10" fillId="0" borderId="28" xfId="0" applyNumberFormat="1" applyFont="1" applyBorder="1" applyAlignment="1">
      <alignment horizontal="center" vertical="center"/>
    </xf>
    <xf numFmtId="44" fontId="17" fillId="0" borderId="28" xfId="0" applyNumberFormat="1" applyFont="1" applyBorder="1" applyAlignment="1">
      <alignment horizontal="center" vertical="center"/>
    </xf>
    <xf numFmtId="44" fontId="17" fillId="0" borderId="18" xfId="0" applyNumberFormat="1" applyFont="1" applyBorder="1" applyAlignment="1">
      <alignment horizontal="center" vertical="center"/>
    </xf>
    <xf numFmtId="0" fontId="0" fillId="9" borderId="26" xfId="0" applyFill="1" applyBorder="1" applyAlignment="1">
      <alignment horizontal="center"/>
    </xf>
    <xf numFmtId="0" fontId="0" fillId="9" borderId="37" xfId="0" applyFill="1" applyBorder="1" applyAlignment="1">
      <alignment horizontal="center"/>
    </xf>
    <xf numFmtId="165" fontId="8" fillId="0" borderId="7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0" fillId="0" borderId="10" xfId="0" applyFill="1" applyBorder="1"/>
    <xf numFmtId="165" fontId="8" fillId="0" borderId="0" xfId="0" applyNumberFormat="1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22" fillId="0" borderId="0" xfId="4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28" fillId="0" borderId="0" xfId="0" applyFont="1" applyBorder="1" applyAlignment="1">
      <alignment horizontal="center" vertical="center"/>
    </xf>
    <xf numFmtId="0" fontId="0" fillId="0" borderId="22" xfId="0" applyFill="1" applyBorder="1" applyAlignment="1">
      <alignment wrapText="1"/>
    </xf>
    <xf numFmtId="0" fontId="23" fillId="0" borderId="32" xfId="0" applyFont="1" applyFill="1" applyBorder="1" applyAlignment="1">
      <alignment horizontal="left" vertical="center" wrapText="1"/>
    </xf>
    <xf numFmtId="0" fontId="0" fillId="0" borderId="32" xfId="0" applyFill="1" applyBorder="1" applyAlignment="1">
      <alignment wrapText="1" indent="1"/>
    </xf>
    <xf numFmtId="0" fontId="0" fillId="0" borderId="33" xfId="0" applyFill="1" applyBorder="1" applyAlignment="1">
      <alignment wrapText="1" indent="1"/>
    </xf>
    <xf numFmtId="0" fontId="10" fillId="0" borderId="18" xfId="0" applyFont="1" applyBorder="1" applyAlignment="1">
      <alignment horizontal="center" vertical="center"/>
    </xf>
    <xf numFmtId="0" fontId="0" fillId="0" borderId="22" xfId="0" applyFill="1" applyBorder="1" applyAlignment="1">
      <alignment wrapText="1" indent="1"/>
    </xf>
    <xf numFmtId="44" fontId="8" fillId="0" borderId="0" xfId="0" applyNumberFormat="1" applyFont="1" applyFill="1" applyBorder="1" applyAlignment="1">
      <alignment horizontal="center" vertical="center"/>
    </xf>
    <xf numFmtId="44" fontId="28" fillId="0" borderId="0" xfId="2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 wrapText="1"/>
    </xf>
    <xf numFmtId="44" fontId="8" fillId="0" borderId="28" xfId="0" applyNumberFormat="1" applyFont="1" applyFill="1" applyBorder="1" applyAlignment="1">
      <alignment horizontal="center" vertical="center"/>
    </xf>
    <xf numFmtId="44" fontId="28" fillId="0" borderId="28" xfId="2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18" fillId="0" borderId="6" xfId="0" applyFont="1" applyBorder="1"/>
    <xf numFmtId="0" fontId="18" fillId="0" borderId="7" xfId="0" applyFont="1" applyBorder="1"/>
    <xf numFmtId="0" fontId="18" fillId="0" borderId="22" xfId="0" applyFont="1" applyBorder="1"/>
    <xf numFmtId="0" fontId="18" fillId="0" borderId="0" xfId="0" applyFont="1" applyBorder="1"/>
    <xf numFmtId="9" fontId="18" fillId="0" borderId="0" xfId="3" applyFont="1" applyBorder="1"/>
    <xf numFmtId="167" fontId="8" fillId="0" borderId="23" xfId="3" applyNumberFormat="1" applyFont="1" applyBorder="1" applyAlignment="1">
      <alignment horizontal="right" vertical="center"/>
    </xf>
    <xf numFmtId="44" fontId="18" fillId="0" borderId="0" xfId="2" applyFont="1" applyBorder="1"/>
    <xf numFmtId="44" fontId="0" fillId="0" borderId="0" xfId="2" applyFont="1" applyBorder="1"/>
    <xf numFmtId="44" fontId="18" fillId="0" borderId="0" xfId="0" applyNumberFormat="1" applyFont="1" applyBorder="1"/>
    <xf numFmtId="0" fontId="18" fillId="0" borderId="0" xfId="2" applyNumberFormat="1" applyFont="1" applyBorder="1"/>
    <xf numFmtId="0" fontId="18" fillId="0" borderId="0" xfId="0" applyNumberFormat="1" applyFont="1" applyBorder="1"/>
    <xf numFmtId="44" fontId="20" fillId="0" borderId="0" xfId="0" applyNumberFormat="1" applyFont="1" applyBorder="1"/>
    <xf numFmtId="9" fontId="8" fillId="0" borderId="0" xfId="0" applyNumberFormat="1" applyFont="1" applyBorder="1" applyAlignment="1">
      <alignment horizontal="center" vertical="center"/>
    </xf>
    <xf numFmtId="9" fontId="8" fillId="0" borderId="0" xfId="0" applyNumberFormat="1" applyFont="1" applyBorder="1" applyAlignment="1">
      <alignment horizontal="left" vertical="center"/>
    </xf>
    <xf numFmtId="164" fontId="8" fillId="0" borderId="0" xfId="0" applyNumberFormat="1" applyFont="1" applyFill="1" applyBorder="1" applyAlignment="1">
      <alignment horizontal="center" vertical="center"/>
    </xf>
    <xf numFmtId="9" fontId="8" fillId="0" borderId="23" xfId="0" applyNumberFormat="1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/>
    </xf>
    <xf numFmtId="9" fontId="8" fillId="0" borderId="28" xfId="0" applyNumberFormat="1" applyFont="1" applyBorder="1" applyAlignment="1">
      <alignment horizontal="center" vertical="center"/>
    </xf>
    <xf numFmtId="9" fontId="8" fillId="0" borderId="18" xfId="0" applyNumberFormat="1" applyFont="1" applyBorder="1" applyAlignment="1">
      <alignment horizontal="left" vertical="center"/>
    </xf>
    <xf numFmtId="0" fontId="32" fillId="0" borderId="6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32" fillId="0" borderId="24" xfId="0" applyFont="1" applyBorder="1" applyAlignment="1">
      <alignment horizontal="center" vertical="center"/>
    </xf>
    <xf numFmtId="0" fontId="32" fillId="0" borderId="28" xfId="0" applyFont="1" applyBorder="1" applyAlignment="1">
      <alignment horizontal="center" vertical="center"/>
    </xf>
    <xf numFmtId="0" fontId="32" fillId="0" borderId="18" xfId="0" applyFont="1" applyBorder="1" applyAlignment="1">
      <alignment horizontal="center" vertical="center"/>
    </xf>
    <xf numFmtId="0" fontId="0" fillId="0" borderId="6" xfId="0" applyFill="1" applyBorder="1" applyAlignment="1">
      <alignment wrapText="1"/>
    </xf>
    <xf numFmtId="0" fontId="0" fillId="0" borderId="37" xfId="0" applyFill="1" applyBorder="1" applyAlignment="1">
      <alignment horizontal="center" wrapText="1"/>
    </xf>
    <xf numFmtId="0" fontId="0" fillId="0" borderId="27" xfId="0" applyFill="1" applyBorder="1" applyAlignment="1">
      <alignment horizontal="center" wrapText="1"/>
    </xf>
    <xf numFmtId="0" fontId="0" fillId="0" borderId="14" xfId="0" applyFill="1" applyBorder="1" applyAlignment="1">
      <alignment wrapText="1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right" vertical="center"/>
    </xf>
    <xf numFmtId="164" fontId="3" fillId="2" borderId="0" xfId="2" applyNumberFormat="1" applyFont="1" applyFill="1" applyBorder="1" applyAlignment="1">
      <alignment horizontal="center" vertical="center"/>
    </xf>
    <xf numFmtId="44" fontId="3" fillId="2" borderId="23" xfId="2" applyNumberFormat="1" applyFont="1" applyFill="1" applyBorder="1" applyAlignment="1">
      <alignment horizontal="center" vertical="center"/>
    </xf>
    <xf numFmtId="44" fontId="3" fillId="2" borderId="0" xfId="2" applyFont="1" applyFill="1" applyBorder="1" applyAlignment="1">
      <alignment horizontal="center" vertical="center"/>
    </xf>
    <xf numFmtId="166" fontId="3" fillId="2" borderId="23" xfId="2" applyNumberFormat="1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left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right" vertical="center"/>
    </xf>
    <xf numFmtId="2" fontId="3" fillId="2" borderId="28" xfId="0" applyNumberFormat="1" applyFont="1" applyFill="1" applyBorder="1" applyAlignment="1">
      <alignment horizontal="center" vertical="center"/>
    </xf>
    <xf numFmtId="2" fontId="3" fillId="2" borderId="18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44" fontId="3" fillId="0" borderId="0" xfId="2" applyNumberFormat="1" applyFont="1" applyBorder="1" applyAlignment="1">
      <alignment horizontal="center" vertical="center"/>
    </xf>
    <xf numFmtId="44" fontId="3" fillId="0" borderId="23" xfId="2" applyNumberFormat="1" applyFont="1" applyBorder="1" applyAlignment="1">
      <alignment horizontal="center" vertical="center"/>
    </xf>
    <xf numFmtId="164" fontId="8" fillId="0" borderId="23" xfId="2" applyNumberFormat="1" applyFont="1" applyBorder="1" applyAlignment="1">
      <alignment horizontal="center" vertical="center"/>
    </xf>
    <xf numFmtId="44" fontId="8" fillId="0" borderId="23" xfId="2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44" fontId="3" fillId="0" borderId="28" xfId="2" applyNumberFormat="1" applyFont="1" applyBorder="1" applyAlignment="1">
      <alignment horizontal="center" vertical="center"/>
    </xf>
    <xf numFmtId="44" fontId="3" fillId="0" borderId="18" xfId="2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4" fontId="3" fillId="0" borderId="22" xfId="2" applyNumberFormat="1" applyFont="1" applyBorder="1" applyAlignment="1">
      <alignment horizontal="center" vertical="center"/>
    </xf>
    <xf numFmtId="44" fontId="3" fillId="0" borderId="24" xfId="2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2" xfId="0" applyFont="1" applyBorder="1" applyAlignment="1">
      <alignment horizontal="left" vertical="center"/>
    </xf>
    <xf numFmtId="164" fontId="3" fillId="0" borderId="23" xfId="2" applyNumberFormat="1" applyFont="1" applyBorder="1" applyAlignment="1">
      <alignment horizontal="right" vertical="center"/>
    </xf>
    <xf numFmtId="164" fontId="3" fillId="0" borderId="18" xfId="2" applyNumberFormat="1" applyFont="1" applyBorder="1" applyAlignment="1">
      <alignment horizontal="center" vertical="center"/>
    </xf>
    <xf numFmtId="0" fontId="33" fillId="0" borderId="38" xfId="0" applyFont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17" fontId="3" fillId="2" borderId="22" xfId="0" quotePrefix="1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0" fontId="34" fillId="2" borderId="6" xfId="0" applyFont="1" applyFill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9" fontId="10" fillId="0" borderId="0" xfId="0" applyNumberFormat="1" applyFont="1" applyBorder="1" applyAlignment="1">
      <alignment horizontal="right" vertical="center"/>
    </xf>
    <xf numFmtId="164" fontId="8" fillId="0" borderId="18" xfId="2" applyNumberFormat="1" applyFont="1" applyBorder="1" applyAlignment="1">
      <alignment horizontal="center" vertical="center"/>
    </xf>
    <xf numFmtId="164" fontId="8" fillId="0" borderId="7" xfId="0" applyNumberFormat="1" applyFont="1" applyBorder="1" applyAlignment="1">
      <alignment horizontal="center" vertical="center"/>
    </xf>
    <xf numFmtId="164" fontId="8" fillId="0" borderId="23" xfId="0" applyNumberFormat="1" applyFont="1" applyBorder="1" applyAlignment="1">
      <alignment horizontal="center" vertical="center"/>
    </xf>
    <xf numFmtId="44" fontId="8" fillId="0" borderId="0" xfId="2" applyFont="1" applyBorder="1" applyAlignment="1">
      <alignment horizontal="center" vertical="center"/>
    </xf>
    <xf numFmtId="44" fontId="8" fillId="0" borderId="23" xfId="2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64" fontId="8" fillId="0" borderId="22" xfId="0" applyNumberFormat="1" applyFont="1" applyBorder="1" applyAlignment="1">
      <alignment horizontal="center" vertical="center"/>
    </xf>
    <xf numFmtId="44" fontId="8" fillId="0" borderId="22" xfId="2" applyFont="1" applyBorder="1" applyAlignment="1">
      <alignment horizontal="center" vertical="center"/>
    </xf>
    <xf numFmtId="164" fontId="8" fillId="0" borderId="22" xfId="2" applyNumberFormat="1" applyFont="1" applyBorder="1" applyAlignment="1">
      <alignment horizontal="center" vertical="center"/>
    </xf>
    <xf numFmtId="164" fontId="8" fillId="0" borderId="24" xfId="2" applyNumberFormat="1" applyFont="1" applyBorder="1" applyAlignment="1">
      <alignment horizontal="center" vertical="center"/>
    </xf>
    <xf numFmtId="164" fontId="8" fillId="0" borderId="8" xfId="0" applyNumberFormat="1" applyFont="1" applyBorder="1" applyAlignment="1">
      <alignment horizontal="center" vertical="center"/>
    </xf>
    <xf numFmtId="164" fontId="8" fillId="0" borderId="6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sng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en-US" sz="1100" b="1" u="sng"/>
              <a:t>BCA</a:t>
            </a:r>
            <a:r>
              <a:rPr lang="en-US" sz="1100" b="1" u="sng" baseline="0"/>
              <a:t> Summary</a:t>
            </a:r>
            <a:endParaRPr lang="en-US" sz="1100" b="1" u="sng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sng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989589152761528"/>
          <c:y val="5.5724433310847685E-2"/>
          <c:w val="0.84564340171764241"/>
          <c:h val="0.79759272112262558"/>
        </c:manualLayout>
      </c:layout>
      <c:lineChart>
        <c:grouping val="standard"/>
        <c:varyColors val="0"/>
        <c:ser>
          <c:idx val="3"/>
          <c:order val="1"/>
          <c:tx>
            <c:strRef>
              <c:f>Summary!$E$14</c:f>
              <c:strCache>
                <c:ptCount val="1"/>
                <c:pt idx="0">
                  <c:v>Real $</c:v>
                </c:pt>
              </c:strCache>
            </c:strRef>
          </c:tx>
          <c:spPr>
            <a:ln w="2540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Summary!$C$15:$C$45</c:f>
              <c:numCache>
                <c:formatCode>General</c:formatCode>
                <c:ptCount val="3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</c:numCache>
            </c:numRef>
          </c:cat>
          <c:val>
            <c:numRef>
              <c:f>Summary!$E$15:$E$45</c:f>
              <c:numCache>
                <c:formatCode>_("$"* #,##0.00_);_("$"* \(#,##0.00\);_("$"* "-"??_);_(@_)</c:formatCode>
                <c:ptCount val="31"/>
                <c:pt idx="0">
                  <c:v>0</c:v>
                </c:pt>
                <c:pt idx="1">
                  <c:v>215360.56830551638</c:v>
                </c:pt>
                <c:pt idx="2">
                  <c:v>5164430.8830911061</c:v>
                </c:pt>
                <c:pt idx="3">
                  <c:v>7660489.4920719415</c:v>
                </c:pt>
                <c:pt idx="4">
                  <c:v>10200162.240141867</c:v>
                </c:pt>
                <c:pt idx="5">
                  <c:v>2550040.5600354667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8E-488E-AF83-54E45C808C72}"/>
            </c:ext>
          </c:extLst>
        </c:ser>
        <c:ser>
          <c:idx val="0"/>
          <c:order val="2"/>
          <c:tx>
            <c:strRef>
              <c:f>Summary!$F$14</c:f>
              <c:strCache>
                <c:ptCount val="1"/>
                <c:pt idx="0">
                  <c:v>Present $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Summary!$C$15:$C$45</c:f>
              <c:numCache>
                <c:formatCode>General</c:formatCode>
                <c:ptCount val="3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</c:numCache>
            </c:numRef>
          </c:cat>
          <c:val>
            <c:numRef>
              <c:f>Summary!$F$15:$F$45</c:f>
              <c:numCache>
                <c:formatCode>_("$"* #,##0_);_("$"* \(#,##0\);_("$"* "-"??_);_(@_)</c:formatCode>
                <c:ptCount val="31"/>
                <c:pt idx="0" formatCode="_(&quot;$&quot;* #,##0.00_);_(&quot;$&quot;* \(#,##0.00\);_(&quot;$&quot;* &quot;-&quot;??_);_(@_)">
                  <c:v>0</c:v>
                </c:pt>
                <c:pt idx="1">
                  <c:v>201271.559164034</c:v>
                </c:pt>
                <c:pt idx="2">
                  <c:v>4510813.9427819951</c:v>
                </c:pt>
                <c:pt idx="3" formatCode="_(&quot;$&quot;* #,##0.00_);_(&quot;$&quot;* \(#,##0.00\);_(&quot;$&quot;* &quot;-&quot;??_);_(@_)">
                  <c:v>6253241.3083230061</c:v>
                </c:pt>
                <c:pt idx="4" formatCode="_(&quot;$&quot;* #,##0.00_);_(&quot;$&quot;* \(#,##0.00\);_(&quot;$&quot;* &quot;-&quot;??_);_(@_)">
                  <c:v>7781654.9351121886</c:v>
                </c:pt>
                <c:pt idx="5" formatCode="_(&quot;$&quot;* #,##0.00_);_(&quot;$&quot;* \(#,##0.00\);_(&quot;$&quot;* &quot;-&quot;??_);_(@_)">
                  <c:v>1818143.6764280815</c:v>
                </c:pt>
                <c:pt idx="6" formatCode="_(&quot;$&quot;* #,##0.00_);_(&quot;$&quot;* \(#,##0.00\);_(&quot;$&quot;* &quot;-&quot;??_);_(@_)">
                  <c:v>0</c:v>
                </c:pt>
                <c:pt idx="7" formatCode="_(&quot;$&quot;* #,##0.00_);_(&quot;$&quot;* \(#,##0.00\);_(&quot;$&quot;* &quot;-&quot;??_);_(@_)">
                  <c:v>0</c:v>
                </c:pt>
                <c:pt idx="8" formatCode="_(&quot;$&quot;* #,##0.00_);_(&quot;$&quot;* \(#,##0.00\);_(&quot;$&quot;* &quot;-&quot;??_);_(@_)">
                  <c:v>0</c:v>
                </c:pt>
                <c:pt idx="9" formatCode="_(&quot;$&quot;* #,##0.00_);_(&quot;$&quot;* \(#,##0.00\);_(&quot;$&quot;* &quot;-&quot;??_);_(@_)">
                  <c:v>0</c:v>
                </c:pt>
                <c:pt idx="10" formatCode="_(&quot;$&quot;* #,##0.00_);_(&quot;$&quot;* \(#,##0.00\);_(&quot;$&quot;* &quot;-&quot;??_);_(@_)">
                  <c:v>0</c:v>
                </c:pt>
                <c:pt idx="11" formatCode="_(&quot;$&quot;* #,##0.00_);_(&quot;$&quot;* \(#,##0.00\);_(&quot;$&quot;* &quot;-&quot;??_);_(@_)">
                  <c:v>0</c:v>
                </c:pt>
                <c:pt idx="12" formatCode="_(&quot;$&quot;* #,##0.00_);_(&quot;$&quot;* \(#,##0.00\);_(&quot;$&quot;* &quot;-&quot;??_);_(@_)">
                  <c:v>0</c:v>
                </c:pt>
                <c:pt idx="13" formatCode="_(&quot;$&quot;* #,##0.00_);_(&quot;$&quot;* \(#,##0.00\);_(&quot;$&quot;* &quot;-&quot;??_);_(@_)">
                  <c:v>0</c:v>
                </c:pt>
                <c:pt idx="14" formatCode="_(&quot;$&quot;* #,##0.00_);_(&quot;$&quot;* \(#,##0.00\);_(&quot;$&quot;* &quot;-&quot;??_);_(@_)">
                  <c:v>0</c:v>
                </c:pt>
                <c:pt idx="15" formatCode="_(&quot;$&quot;* #,##0.00_);_(&quot;$&quot;* \(#,##0.00\);_(&quot;$&quot;* &quot;-&quot;??_);_(@_)">
                  <c:v>0</c:v>
                </c:pt>
                <c:pt idx="16" formatCode="_(&quot;$&quot;* #,##0.00_);_(&quot;$&quot;* \(#,##0.00\);_(&quot;$&quot;* &quot;-&quot;??_);_(@_)">
                  <c:v>0</c:v>
                </c:pt>
                <c:pt idx="17" formatCode="_(&quot;$&quot;* #,##0.00_);_(&quot;$&quot;* \(#,##0.00\);_(&quot;$&quot;* &quot;-&quot;??_);_(@_)">
                  <c:v>0</c:v>
                </c:pt>
                <c:pt idx="18" formatCode="_(&quot;$&quot;* #,##0.00_);_(&quot;$&quot;* \(#,##0.00\);_(&quot;$&quot;* &quot;-&quot;??_);_(@_)">
                  <c:v>0</c:v>
                </c:pt>
                <c:pt idx="19" formatCode="_(&quot;$&quot;* #,##0.00_);_(&quot;$&quot;* \(#,##0.00\);_(&quot;$&quot;* &quot;-&quot;??_);_(@_)">
                  <c:v>0</c:v>
                </c:pt>
                <c:pt idx="20" formatCode="_(&quot;$&quot;* #,##0.00_);_(&quot;$&quot;* \(#,##0.00\);_(&quot;$&quot;* &quot;-&quot;??_);_(@_)">
                  <c:v>0</c:v>
                </c:pt>
                <c:pt idx="21" formatCode="_(&quot;$&quot;* #,##0.00_);_(&quot;$&quot;* \(#,##0.00\);_(&quot;$&quot;* &quot;-&quot;??_);_(@_)">
                  <c:v>0</c:v>
                </c:pt>
                <c:pt idx="22" formatCode="_(&quot;$&quot;* #,##0.00_);_(&quot;$&quot;* \(#,##0.00\);_(&quot;$&quot;* &quot;-&quot;??_);_(@_)">
                  <c:v>0</c:v>
                </c:pt>
                <c:pt idx="23" formatCode="_(&quot;$&quot;* #,##0.00_);_(&quot;$&quot;* \(#,##0.00\);_(&quot;$&quot;* &quot;-&quot;??_);_(@_)">
                  <c:v>0</c:v>
                </c:pt>
                <c:pt idx="24" formatCode="_(&quot;$&quot;* #,##0.00_);_(&quot;$&quot;* \(#,##0.00\);_(&quot;$&quot;* &quot;-&quot;??_);_(@_)">
                  <c:v>0</c:v>
                </c:pt>
                <c:pt idx="25" formatCode="_(&quot;$&quot;* #,##0.00_);_(&quot;$&quot;* \(#,##0.00\);_(&quot;$&quot;* &quot;-&quot;??_);_(@_)">
                  <c:v>0</c:v>
                </c:pt>
                <c:pt idx="26" formatCode="_(&quot;$&quot;* #,##0.00_);_(&quot;$&quot;* \(#,##0.00\);_(&quot;$&quot;* &quot;-&quot;??_);_(@_)">
                  <c:v>0</c:v>
                </c:pt>
                <c:pt idx="27" formatCode="_(&quot;$&quot;* #,##0.00_);_(&quot;$&quot;* \(#,##0.00\);_(&quot;$&quot;* &quot;-&quot;??_);_(@_)">
                  <c:v>0</c:v>
                </c:pt>
                <c:pt idx="28" formatCode="_(&quot;$&quot;* #,##0.00_);_(&quot;$&quot;* \(#,##0.00\);_(&quot;$&quot;* &quot;-&quot;??_);_(@_)">
                  <c:v>0</c:v>
                </c:pt>
                <c:pt idx="29" formatCode="_(&quot;$&quot;* #,##0.00_);_(&quot;$&quot;* \(#,##0.00\);_(&quot;$&quot;* &quot;-&quot;??_);_(@_)">
                  <c:v>0</c:v>
                </c:pt>
                <c:pt idx="30" formatCode="_(&quot;$&quot;* #,##0.00_);_(&quot;$&quot;* \(#,##0.00\);_(&quot;$&quot;* &quot;-&quot;??_);_(@_)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98E-488E-AF83-54E45C808C72}"/>
            </c:ext>
          </c:extLst>
        </c:ser>
        <c:ser>
          <c:idx val="4"/>
          <c:order val="3"/>
          <c:tx>
            <c:strRef>
              <c:f>Summary!$H$14</c:f>
              <c:strCache>
                <c:ptCount val="1"/>
                <c:pt idx="0">
                  <c:v>Real $</c:v>
                </c:pt>
              </c:strCache>
            </c:strRef>
          </c:tx>
          <c:spPr>
            <a:ln w="25400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Summary!$C$15:$C$45</c:f>
              <c:numCache>
                <c:formatCode>General</c:formatCode>
                <c:ptCount val="3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</c:numCache>
            </c:numRef>
          </c:cat>
          <c:val>
            <c:numRef>
              <c:f>Summary!$H$15:$H$45</c:f>
              <c:numCache>
                <c:formatCode>_("$"* #,##0.00_);_("$"* \(#,##0.00\);_("$"* "-"??_);_(@_)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2329659.5384</c:v>
                </c:pt>
                <c:pt idx="6">
                  <c:v>2330158.4230214441</c:v>
                </c:pt>
                <c:pt idx="7">
                  <c:v>2330756.3175438787</c:v>
                </c:pt>
                <c:pt idx="8">
                  <c:v>2331255.2021653228</c:v>
                </c:pt>
                <c:pt idx="9">
                  <c:v>2316902.6016382524</c:v>
                </c:pt>
                <c:pt idx="10">
                  <c:v>2317401.486259697</c:v>
                </c:pt>
                <c:pt idx="11">
                  <c:v>2317900.3708811412</c:v>
                </c:pt>
                <c:pt idx="12">
                  <c:v>2318399.2555025853</c:v>
                </c:pt>
                <c:pt idx="13">
                  <c:v>2318898.1401240299</c:v>
                </c:pt>
                <c:pt idx="14">
                  <c:v>2319397.0247454741</c:v>
                </c:pt>
                <c:pt idx="15">
                  <c:v>2319895.9093669183</c:v>
                </c:pt>
                <c:pt idx="16">
                  <c:v>2320394.7939883629</c:v>
                </c:pt>
                <c:pt idx="17">
                  <c:v>2320893.678609807</c:v>
                </c:pt>
                <c:pt idx="18">
                  <c:v>2321392.5632312512</c:v>
                </c:pt>
                <c:pt idx="19">
                  <c:v>2321891.4478526958</c:v>
                </c:pt>
                <c:pt idx="20">
                  <c:v>2297637.8572266153</c:v>
                </c:pt>
                <c:pt idx="21">
                  <c:v>2298136.7418480595</c:v>
                </c:pt>
                <c:pt idx="22">
                  <c:v>2298635.6264695041</c:v>
                </c:pt>
                <c:pt idx="23">
                  <c:v>2299134.5110909482</c:v>
                </c:pt>
                <c:pt idx="24">
                  <c:v>2299633.3957123924</c:v>
                </c:pt>
                <c:pt idx="25">
                  <c:v>2300132.280333837</c:v>
                </c:pt>
                <c:pt idx="26">
                  <c:v>2300631.1649552812</c:v>
                </c:pt>
                <c:pt idx="27">
                  <c:v>2301130.0495767253</c:v>
                </c:pt>
                <c:pt idx="28">
                  <c:v>2301628.93419817</c:v>
                </c:pt>
                <c:pt idx="29">
                  <c:v>2302127.8188196141</c:v>
                </c:pt>
                <c:pt idx="30">
                  <c:v>15197868.575264007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98E-488E-AF83-54E45C808C72}"/>
            </c:ext>
          </c:extLst>
        </c:ser>
        <c:ser>
          <c:idx val="1"/>
          <c:order val="4"/>
          <c:tx>
            <c:strRef>
              <c:f>Summary!$I$14</c:f>
              <c:strCache>
                <c:ptCount val="1"/>
                <c:pt idx="0">
                  <c:v>Present $</c:v>
                </c:pt>
              </c:strCache>
            </c:strRef>
          </c:tx>
          <c:spPr>
            <a:ln w="31750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Summary!$C$15:$C$45</c:f>
              <c:numCache>
                <c:formatCode>General</c:formatCode>
                <c:ptCount val="3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</c:numCache>
            </c:numRef>
          </c:cat>
          <c:val>
            <c:numRef>
              <c:f>Summary!$I$15:$I$45</c:f>
              <c:numCache>
                <c:formatCode>_("$"* #,##0.00_);_("$"* \(#,##0.00\);_("$"* "-"??_);_(@_)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1661015.0537815024</c:v>
                </c:pt>
                <c:pt idx="6">
                  <c:v>1552682.945440887</c:v>
                </c:pt>
                <c:pt idx="7">
                  <c:v>1451477.8951463306</c:v>
                </c:pt>
                <c:pt idx="8">
                  <c:v>1356811.752724827</c:v>
                </c:pt>
                <c:pt idx="9">
                  <c:v>1260241.5033120441</c:v>
                </c:pt>
                <c:pt idx="10">
                  <c:v>1178049.4051320599</c:v>
                </c:pt>
                <c:pt idx="11">
                  <c:v>1101217.7689497457</c:v>
                </c:pt>
                <c:pt idx="12">
                  <c:v>1029396.9957379649</c:v>
                </c:pt>
                <c:pt idx="13">
                  <c:v>962260.28642632475</c:v>
                </c:pt>
                <c:pt idx="14">
                  <c:v>899502.1549605818</c:v>
                </c:pt>
                <c:pt idx="15">
                  <c:v>840837.03833463194</c:v>
                </c:pt>
                <c:pt idx="16">
                  <c:v>785997.99727096769</c:v>
                </c:pt>
                <c:pt idx="17">
                  <c:v>734735.50163790607</c:v>
                </c:pt>
                <c:pt idx="18">
                  <c:v>686816.29507743136</c:v>
                </c:pt>
                <c:pt idx="19">
                  <c:v>642022.33367787348</c:v>
                </c:pt>
                <c:pt idx="20">
                  <c:v>593753.2838918959</c:v>
                </c:pt>
                <c:pt idx="21">
                  <c:v>555030.09827877453</c:v>
                </c:pt>
                <c:pt idx="22">
                  <c:v>518832.32284451183</c:v>
                </c:pt>
                <c:pt idx="23">
                  <c:v>484995.25950605352</c:v>
                </c:pt>
                <c:pt idx="24">
                  <c:v>453364.95108607109</c:v>
                </c:pt>
                <c:pt idx="25">
                  <c:v>423797.48084386287</c:v>
                </c:pt>
                <c:pt idx="26">
                  <c:v>396158.31768695562</c:v>
                </c:pt>
                <c:pt idx="27">
                  <c:v>370321.70408439339</c:v>
                </c:pt>
                <c:pt idx="28">
                  <c:v>346170.0838969748</c:v>
                </c:pt>
                <c:pt idx="29">
                  <c:v>323593.56752129673</c:v>
                </c:pt>
                <c:pt idx="30">
                  <c:v>1996500.1816267658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98E-488E-AF83-54E45C808C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7761064"/>
        <c:axId val="807764016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Summary!$C$14</c15:sqref>
                        </c15:formulaRef>
                      </c:ext>
                    </c:extLst>
                    <c:strCache>
                      <c:ptCount val="1"/>
                      <c:pt idx="0">
                        <c:v>Year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Summary!$C$15:$C$45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2022</c:v>
                      </c:pt>
                      <c:pt idx="1">
                        <c:v>2023</c:v>
                      </c:pt>
                      <c:pt idx="2">
                        <c:v>2024</c:v>
                      </c:pt>
                      <c:pt idx="3">
                        <c:v>2025</c:v>
                      </c:pt>
                      <c:pt idx="4">
                        <c:v>2026</c:v>
                      </c:pt>
                      <c:pt idx="5">
                        <c:v>2027</c:v>
                      </c:pt>
                      <c:pt idx="6">
                        <c:v>2028</c:v>
                      </c:pt>
                      <c:pt idx="7">
                        <c:v>2029</c:v>
                      </c:pt>
                      <c:pt idx="8">
                        <c:v>2030</c:v>
                      </c:pt>
                      <c:pt idx="9">
                        <c:v>2031</c:v>
                      </c:pt>
                      <c:pt idx="10">
                        <c:v>2032</c:v>
                      </c:pt>
                      <c:pt idx="11">
                        <c:v>2033</c:v>
                      </c:pt>
                      <c:pt idx="12">
                        <c:v>2034</c:v>
                      </c:pt>
                      <c:pt idx="13">
                        <c:v>2035</c:v>
                      </c:pt>
                      <c:pt idx="14">
                        <c:v>2036</c:v>
                      </c:pt>
                      <c:pt idx="15">
                        <c:v>2037</c:v>
                      </c:pt>
                      <c:pt idx="16">
                        <c:v>2038</c:v>
                      </c:pt>
                      <c:pt idx="17">
                        <c:v>2039</c:v>
                      </c:pt>
                      <c:pt idx="18">
                        <c:v>2040</c:v>
                      </c:pt>
                      <c:pt idx="19">
                        <c:v>2041</c:v>
                      </c:pt>
                      <c:pt idx="20">
                        <c:v>2042</c:v>
                      </c:pt>
                      <c:pt idx="21">
                        <c:v>2043</c:v>
                      </c:pt>
                      <c:pt idx="22">
                        <c:v>2044</c:v>
                      </c:pt>
                      <c:pt idx="23">
                        <c:v>2045</c:v>
                      </c:pt>
                      <c:pt idx="24">
                        <c:v>2046</c:v>
                      </c:pt>
                      <c:pt idx="25">
                        <c:v>2047</c:v>
                      </c:pt>
                      <c:pt idx="26">
                        <c:v>2048</c:v>
                      </c:pt>
                      <c:pt idx="27">
                        <c:v>2049</c:v>
                      </c:pt>
                      <c:pt idx="28">
                        <c:v>2050</c:v>
                      </c:pt>
                      <c:pt idx="29">
                        <c:v>2051</c:v>
                      </c:pt>
                      <c:pt idx="30">
                        <c:v>2052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Summary!$C$15:$C$45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2022</c:v>
                      </c:pt>
                      <c:pt idx="1">
                        <c:v>2023</c:v>
                      </c:pt>
                      <c:pt idx="2">
                        <c:v>2024</c:v>
                      </c:pt>
                      <c:pt idx="3">
                        <c:v>2025</c:v>
                      </c:pt>
                      <c:pt idx="4">
                        <c:v>2026</c:v>
                      </c:pt>
                      <c:pt idx="5">
                        <c:v>2027</c:v>
                      </c:pt>
                      <c:pt idx="6">
                        <c:v>2028</c:v>
                      </c:pt>
                      <c:pt idx="7">
                        <c:v>2029</c:v>
                      </c:pt>
                      <c:pt idx="8">
                        <c:v>2030</c:v>
                      </c:pt>
                      <c:pt idx="9">
                        <c:v>2031</c:v>
                      </c:pt>
                      <c:pt idx="10">
                        <c:v>2032</c:v>
                      </c:pt>
                      <c:pt idx="11">
                        <c:v>2033</c:v>
                      </c:pt>
                      <c:pt idx="12">
                        <c:v>2034</c:v>
                      </c:pt>
                      <c:pt idx="13">
                        <c:v>2035</c:v>
                      </c:pt>
                      <c:pt idx="14">
                        <c:v>2036</c:v>
                      </c:pt>
                      <c:pt idx="15">
                        <c:v>2037</c:v>
                      </c:pt>
                      <c:pt idx="16">
                        <c:v>2038</c:v>
                      </c:pt>
                      <c:pt idx="17">
                        <c:v>2039</c:v>
                      </c:pt>
                      <c:pt idx="18">
                        <c:v>2040</c:v>
                      </c:pt>
                      <c:pt idx="19">
                        <c:v>2041</c:v>
                      </c:pt>
                      <c:pt idx="20">
                        <c:v>2042</c:v>
                      </c:pt>
                      <c:pt idx="21">
                        <c:v>2043</c:v>
                      </c:pt>
                      <c:pt idx="22">
                        <c:v>2044</c:v>
                      </c:pt>
                      <c:pt idx="23">
                        <c:v>2045</c:v>
                      </c:pt>
                      <c:pt idx="24">
                        <c:v>2046</c:v>
                      </c:pt>
                      <c:pt idx="25">
                        <c:v>2047</c:v>
                      </c:pt>
                      <c:pt idx="26">
                        <c:v>2048</c:v>
                      </c:pt>
                      <c:pt idx="27">
                        <c:v>2049</c:v>
                      </c:pt>
                      <c:pt idx="28">
                        <c:v>2050</c:v>
                      </c:pt>
                      <c:pt idx="29">
                        <c:v>2051</c:v>
                      </c:pt>
                      <c:pt idx="30">
                        <c:v>2052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098E-488E-AF83-54E45C808C72}"/>
                  </c:ext>
                </c:extLst>
              </c15:ser>
            </c15:filteredLineSeries>
          </c:ext>
        </c:extLst>
      </c:lineChart>
      <c:catAx>
        <c:axId val="807761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2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n-US"/>
          </a:p>
        </c:txPr>
        <c:crossAx val="807764016"/>
        <c:crosses val="autoZero"/>
        <c:auto val="1"/>
        <c:lblAlgn val="ctr"/>
        <c:lblOffset val="10"/>
        <c:tickLblSkip val="1"/>
        <c:noMultiLvlLbl val="0"/>
      </c:catAx>
      <c:valAx>
        <c:axId val="80776401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n-US"/>
          </a:p>
        </c:txPr>
        <c:crossAx val="807761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184909733692866"/>
          <c:y val="0.14831214128456946"/>
          <c:w val="0.2784500267679445"/>
          <c:h val="0.11476873621243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Segoe UI" panose="020B0502040204020203" pitchFamily="34" charset="0"/>
          <a:cs typeface="Segoe UI" panose="020B050204020402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en-US" u="sng"/>
              <a:t>Benefits Pie Chart</a:t>
            </a:r>
          </a:p>
        </c:rich>
      </c:tx>
      <c:layout>
        <c:manualLayout>
          <c:xMode val="edge"/>
          <c:yMode val="edge"/>
          <c:x val="0.60923625448948837"/>
          <c:y val="1.78119867658340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151436194431334"/>
          <c:y val="6.8318221392417222E-2"/>
          <c:w val="0.7139406414613183"/>
          <c:h val="0.8843845484128324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E34-44B7-9BF5-FAEF88275BF6}"/>
              </c:ext>
            </c:extLst>
          </c:dPt>
          <c:dPt>
            <c:idx val="1"/>
            <c:bubble3D val="0"/>
            <c:spPr>
              <a:solidFill>
                <a:schemeClr val="accent1">
                  <a:shade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E34-44B7-9BF5-FAEF88275BF6}"/>
              </c:ext>
            </c:extLst>
          </c:dPt>
          <c:dPt>
            <c:idx val="2"/>
            <c:bubble3D val="0"/>
            <c:spPr>
              <a:solidFill>
                <a:schemeClr val="accent1">
                  <a:tint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E34-44B7-9BF5-FAEF88275BF6}"/>
              </c:ext>
            </c:extLst>
          </c:dPt>
          <c:dPt>
            <c:idx val="3"/>
            <c:bubble3D val="0"/>
            <c:spPr>
              <a:solidFill>
                <a:schemeClr val="accent1">
                  <a:tint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E34-44B7-9BF5-FAEF88275BF6}"/>
              </c:ext>
            </c:extLst>
          </c:dPt>
          <c:dPt>
            <c:idx val="4"/>
            <c:bubble3D val="0"/>
            <c:spPr>
              <a:solidFill>
                <a:schemeClr val="accent1">
                  <a:tint val="54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023-4D47-B7A5-A9AFD2CE93EB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Summary!$K$33:$K$37</c:f>
              <c:strCache>
                <c:ptCount val="5"/>
                <c:pt idx="0">
                  <c:v>Mortality Reduction</c:v>
                </c:pt>
                <c:pt idx="1">
                  <c:v>Transportation Cost Saving</c:v>
                </c:pt>
                <c:pt idx="2">
                  <c:v>Safety</c:v>
                </c:pt>
                <c:pt idx="3">
                  <c:v>Maint/Residual</c:v>
                </c:pt>
                <c:pt idx="4">
                  <c:v>Value of BiPed</c:v>
                </c:pt>
              </c:strCache>
            </c:strRef>
          </c:cat>
          <c:val>
            <c:numRef>
              <c:f>Summary!$L$33:$L$37</c:f>
              <c:numCache>
                <c:formatCode>_("$"* #,##0_);_("$"* \(#,##0\);_("$"* "-"??_);_(@_)</c:formatCode>
                <c:ptCount val="5"/>
                <c:pt idx="0">
                  <c:v>244050.52058838043</c:v>
                </c:pt>
                <c:pt idx="1">
                  <c:v>15886.76575396513</c:v>
                </c:pt>
                <c:pt idx="2">
                  <c:v>60705060</c:v>
                </c:pt>
                <c:pt idx="3">
                  <c:v>12159194.290541178</c:v>
                </c:pt>
                <c:pt idx="4">
                  <c:v>28288.214027055888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E34-44B7-9BF5-FAEF88275BF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296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 b="1">
          <a:latin typeface="Segoe UI" panose="020B0502040204020203" pitchFamily="34" charset="0"/>
          <a:cs typeface="Segoe UI" panose="020B050204020402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sng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en-US" b="1" u="sng"/>
              <a:t>Costs</a:t>
            </a:r>
            <a:r>
              <a:rPr lang="en-US" b="1" u="sng" baseline="0"/>
              <a:t> of Project Build</a:t>
            </a:r>
            <a:endParaRPr lang="en-US" b="1" u="sng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sng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94132876247612"/>
          <c:y val="5.5724417426545089E-2"/>
          <c:w val="0.84564340171764241"/>
          <c:h val="0.79759272112262558"/>
        </c:manualLayout>
      </c:layout>
      <c:lineChart>
        <c:grouping val="standard"/>
        <c:varyColors val="0"/>
        <c:ser>
          <c:idx val="1"/>
          <c:order val="0"/>
          <c:tx>
            <c:strRef>
              <c:f>Costs!$C$9</c:f>
              <c:strCache>
                <c:ptCount val="1"/>
                <c:pt idx="0">
                  <c:v>Year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Costs!$C$10:$C$16</c:f>
              <c:numCache>
                <c:formatCode>General</c:formatCode>
                <c:ptCount val="7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</c:numCache>
            </c:numRef>
          </c:cat>
          <c:val>
            <c:numRef>
              <c:f>Costs!$C$10:$C$16</c:f>
              <c:numCache>
                <c:formatCode>General</c:formatCode>
                <c:ptCount val="7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48-4759-80D1-99FD97B4D2A1}"/>
            </c:ext>
          </c:extLst>
        </c:ser>
        <c:ser>
          <c:idx val="2"/>
          <c:order val="1"/>
          <c:tx>
            <c:strRef>
              <c:f>Costs!$M$9</c:f>
              <c:strCache>
                <c:ptCount val="1"/>
                <c:pt idx="0">
                  <c:v>Nominal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Costs!$C$10:$C$16</c:f>
              <c:numCache>
                <c:formatCode>General</c:formatCode>
                <c:ptCount val="7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</c:numCache>
            </c:numRef>
          </c:cat>
          <c:val>
            <c:numRef>
              <c:f>Costs!$M$10:$M$16</c:f>
              <c:numCache>
                <c:formatCode>_("$"* #,##0.00_);_("$"* \(#,##0.00\);_("$"* "-"??_);_(@_)</c:formatCode>
                <c:ptCount val="7"/>
                <c:pt idx="0">
                  <c:v>0</c:v>
                </c:pt>
                <c:pt idx="1">
                  <c:v>217514.17398857154</c:v>
                </c:pt>
                <c:pt idx="2">
                  <c:v>5216075.1919220174</c:v>
                </c:pt>
                <c:pt idx="3">
                  <c:v>7737094.3869926613</c:v>
                </c:pt>
                <c:pt idx="4">
                  <c:v>10302163.862543285</c:v>
                </c:pt>
                <c:pt idx="5">
                  <c:v>2575540.9656358212</c:v>
                </c:pt>
                <c:pt idx="6" formatCode="_(&quot;$&quot;* #,##0_);_(&quot;$&quot;* \(#,##0\);_(&quot;$&quot;* &quot;-&quot;??_);_(@_)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48-4759-80D1-99FD97B4D2A1}"/>
            </c:ext>
          </c:extLst>
        </c:ser>
        <c:ser>
          <c:idx val="3"/>
          <c:order val="2"/>
          <c:tx>
            <c:strRef>
              <c:f>Costs!$N$9</c:f>
              <c:strCache>
                <c:ptCount val="1"/>
                <c:pt idx="0">
                  <c:v>Real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Costs!$C$10:$C$16</c:f>
              <c:numCache>
                <c:formatCode>General</c:formatCode>
                <c:ptCount val="7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</c:numCache>
            </c:numRef>
          </c:cat>
          <c:val>
            <c:numRef>
              <c:f>Costs!$N$10:$N$16</c:f>
              <c:numCache>
                <c:formatCode>_("$"* #,##0.00_);_("$"* \(#,##0.00\);_("$"* "-"??_);_(@_)</c:formatCode>
                <c:ptCount val="7"/>
                <c:pt idx="0">
                  <c:v>0</c:v>
                </c:pt>
                <c:pt idx="1">
                  <c:v>215360.56830551638</c:v>
                </c:pt>
                <c:pt idx="2">
                  <c:v>5164430.8830911061</c:v>
                </c:pt>
                <c:pt idx="3">
                  <c:v>7660489.4920719415</c:v>
                </c:pt>
                <c:pt idx="4">
                  <c:v>10200162.240141867</c:v>
                </c:pt>
                <c:pt idx="5">
                  <c:v>2550040.5600354667</c:v>
                </c:pt>
                <c:pt idx="6" formatCode="_(&quot;$&quot;* #,##0_);_(&quot;$&quot;* \(#,##0\);_(&quot;$&quot;* &quot;-&quot;??_);_(@_)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D48-4759-80D1-99FD97B4D2A1}"/>
            </c:ext>
          </c:extLst>
        </c:ser>
        <c:ser>
          <c:idx val="0"/>
          <c:order val="3"/>
          <c:tx>
            <c:strRef>
              <c:f>Costs!$O$9</c:f>
              <c:strCache>
                <c:ptCount val="1"/>
                <c:pt idx="0">
                  <c:v>Present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Costs!$C$10:$C$16</c:f>
              <c:numCache>
                <c:formatCode>General</c:formatCode>
                <c:ptCount val="7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</c:numCache>
            </c:numRef>
          </c:cat>
          <c:val>
            <c:numRef>
              <c:f>Costs!$O$10:$O$16</c:f>
              <c:numCache>
                <c:formatCode>_("$"* #,##0.00_);_("$"* \(#,##0.00\);_("$"* "-"??_);_(@_)</c:formatCode>
                <c:ptCount val="7"/>
                <c:pt idx="0">
                  <c:v>0</c:v>
                </c:pt>
                <c:pt idx="1">
                  <c:v>201271.559164034</c:v>
                </c:pt>
                <c:pt idx="2">
                  <c:v>4510813.9427819951</c:v>
                </c:pt>
                <c:pt idx="3">
                  <c:v>6253241.3083230061</c:v>
                </c:pt>
                <c:pt idx="4">
                  <c:v>7781654.9351121886</c:v>
                </c:pt>
                <c:pt idx="5">
                  <c:v>1818143.6764280815</c:v>
                </c:pt>
                <c:pt idx="6" formatCode="_(&quot;$&quot;* #,##0_);_(&quot;$&quot;* \(#,##0\);_(&quot;$&quot;* &quot;-&quot;??_);_(@_)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4D48-4759-80D1-99FD97B4D2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7761064"/>
        <c:axId val="807764016"/>
      </c:lineChart>
      <c:catAx>
        <c:axId val="807761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200000" spcFirstLastPara="1" vertOverflow="ellipsis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n-US"/>
          </a:p>
        </c:txPr>
        <c:crossAx val="807764016"/>
        <c:crosses val="autoZero"/>
        <c:auto val="1"/>
        <c:lblAlgn val="ctr"/>
        <c:lblOffset val="10"/>
        <c:tickLblSkip val="1"/>
        <c:noMultiLvlLbl val="0"/>
      </c:catAx>
      <c:valAx>
        <c:axId val="807764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n-US"/>
          </a:p>
        </c:txPr>
        <c:crossAx val="807761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4494358064436292"/>
          <c:y val="7.864523072783533E-2"/>
          <c:w val="0.14054940096675381"/>
          <c:h val="0.413130185210099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Segoe UI" panose="020B0502040204020203" pitchFamily="34" charset="0"/>
          <a:cs typeface="Segoe UI" panose="020B050204020402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sng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en-US" b="1" i="0" u="sng"/>
              <a:t>Benefits of Project Build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sng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94132876247612"/>
          <c:y val="5.5724417426545089E-2"/>
          <c:w val="0.84564340171764241"/>
          <c:h val="0.79759272112262558"/>
        </c:manualLayout>
      </c:layout>
      <c:lineChart>
        <c:grouping val="standard"/>
        <c:varyColors val="0"/>
        <c:ser>
          <c:idx val="0"/>
          <c:order val="2"/>
          <c:tx>
            <c:strRef>
              <c:f>Benefits!$E$11</c:f>
              <c:strCache>
                <c:ptCount val="1"/>
                <c:pt idx="0">
                  <c:v>Real</c:v>
                </c:pt>
              </c:strCache>
            </c:strRef>
          </c:tx>
          <c:spPr>
            <a:ln w="25400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5"/>
              <c:layout>
                <c:manualLayout>
                  <c:x val="-0.14202765757857724"/>
                  <c:y val="-0.170940247634541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312-4E4D-9F7F-C38EAB31621B}"/>
                </c:ext>
              </c:extLst>
            </c:dLbl>
            <c:dLbl>
              <c:idx val="30"/>
              <c:layout>
                <c:manualLayout>
                  <c:x val="-0.18535812938221097"/>
                  <c:y val="5.69800825448470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12-4E4D-9F7F-C38EAB3162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Benefits!$C$12:$C$42</c:f>
              <c:numCache>
                <c:formatCode>General</c:formatCode>
                <c:ptCount val="3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</c:numCache>
            </c:numRef>
          </c:cat>
          <c:val>
            <c:numRef>
              <c:f>Benefits!$E$12:$E$42</c:f>
              <c:numCache>
                <c:formatCode>_("$"* #,##0_);_("$"* \(#,##0\);_("$"* "-"??_);_(@_)</c:formatCode>
                <c:ptCount val="31"/>
                <c:pt idx="0">
                  <c:v>0</c:v>
                </c:pt>
                <c:pt idx="1">
                  <c:v>0</c:v>
                </c:pt>
                <c:pt idx="2" formatCode="_(&quot;$&quot;* #,##0.00_);_(&quot;$&quot;* \(#,##0.00\);_(&quot;$&quot;* &quot;-&quot;??_);_(@_)">
                  <c:v>0</c:v>
                </c:pt>
                <c:pt idx="3" formatCode="_(&quot;$&quot;* #,##0.00_);_(&quot;$&quot;* \(#,##0.00\);_(&quot;$&quot;* &quot;-&quot;??_);_(@_)">
                  <c:v>0</c:v>
                </c:pt>
                <c:pt idx="4" formatCode="_(&quot;$&quot;* #,##0.00_);_(&quot;$&quot;* \(#,##0.00\);_(&quot;$&quot;* &quot;-&quot;??_);_(@_)">
                  <c:v>0</c:v>
                </c:pt>
                <c:pt idx="5" formatCode="_(&quot;$&quot;* #,##0.00_);_(&quot;$&quot;* \(#,##0.00\);_(&quot;$&quot;* &quot;-&quot;??_);_(@_)">
                  <c:v>2329659.5384</c:v>
                </c:pt>
                <c:pt idx="6" formatCode="_(&quot;$&quot;* #,##0.00_);_(&quot;$&quot;* \(#,##0.00\);_(&quot;$&quot;* &quot;-&quot;??_);_(@_)">
                  <c:v>2330158.4230214441</c:v>
                </c:pt>
                <c:pt idx="7" formatCode="_(&quot;$&quot;* #,##0.00_);_(&quot;$&quot;* \(#,##0.00\);_(&quot;$&quot;* &quot;-&quot;??_);_(@_)">
                  <c:v>2330756.3175438787</c:v>
                </c:pt>
                <c:pt idx="8" formatCode="_(&quot;$&quot;* #,##0.00_);_(&quot;$&quot;* \(#,##0.00\);_(&quot;$&quot;* &quot;-&quot;??_);_(@_)">
                  <c:v>2331255.2021653228</c:v>
                </c:pt>
                <c:pt idx="9" formatCode="_(&quot;$&quot;* #,##0.00_);_(&quot;$&quot;* \(#,##0.00\);_(&quot;$&quot;* &quot;-&quot;??_);_(@_)">
                  <c:v>2316902.6016382524</c:v>
                </c:pt>
                <c:pt idx="10" formatCode="_(&quot;$&quot;* #,##0.00_);_(&quot;$&quot;* \(#,##0.00\);_(&quot;$&quot;* &quot;-&quot;??_);_(@_)">
                  <c:v>2317401.486259697</c:v>
                </c:pt>
                <c:pt idx="11" formatCode="_(&quot;$&quot;* #,##0.00_);_(&quot;$&quot;* \(#,##0.00\);_(&quot;$&quot;* &quot;-&quot;??_);_(@_)">
                  <c:v>2317900.3708811412</c:v>
                </c:pt>
                <c:pt idx="12" formatCode="_(&quot;$&quot;* #,##0.00_);_(&quot;$&quot;* \(#,##0.00\);_(&quot;$&quot;* &quot;-&quot;??_);_(@_)">
                  <c:v>2318399.2555025853</c:v>
                </c:pt>
                <c:pt idx="13" formatCode="_(&quot;$&quot;* #,##0.00_);_(&quot;$&quot;* \(#,##0.00\);_(&quot;$&quot;* &quot;-&quot;??_);_(@_)">
                  <c:v>2318898.1401240299</c:v>
                </c:pt>
                <c:pt idx="14" formatCode="_(&quot;$&quot;* #,##0.00_);_(&quot;$&quot;* \(#,##0.00\);_(&quot;$&quot;* &quot;-&quot;??_);_(@_)">
                  <c:v>2319397.0247454741</c:v>
                </c:pt>
                <c:pt idx="15" formatCode="_(&quot;$&quot;* #,##0.00_);_(&quot;$&quot;* \(#,##0.00\);_(&quot;$&quot;* &quot;-&quot;??_);_(@_)">
                  <c:v>2319895.9093669183</c:v>
                </c:pt>
                <c:pt idx="16" formatCode="_(&quot;$&quot;* #,##0.00_);_(&quot;$&quot;* \(#,##0.00\);_(&quot;$&quot;* &quot;-&quot;??_);_(@_)">
                  <c:v>2320394.7939883629</c:v>
                </c:pt>
                <c:pt idx="17" formatCode="_(&quot;$&quot;* #,##0.00_);_(&quot;$&quot;* \(#,##0.00\);_(&quot;$&quot;* &quot;-&quot;??_);_(@_)">
                  <c:v>2320893.678609807</c:v>
                </c:pt>
                <c:pt idx="18" formatCode="_(&quot;$&quot;* #,##0.00_);_(&quot;$&quot;* \(#,##0.00\);_(&quot;$&quot;* &quot;-&quot;??_);_(@_)">
                  <c:v>2321392.5632312512</c:v>
                </c:pt>
                <c:pt idx="19" formatCode="_(&quot;$&quot;* #,##0.00_);_(&quot;$&quot;* \(#,##0.00\);_(&quot;$&quot;* &quot;-&quot;??_);_(@_)">
                  <c:v>2321891.4478526958</c:v>
                </c:pt>
                <c:pt idx="20" formatCode="_(&quot;$&quot;* #,##0.00_);_(&quot;$&quot;* \(#,##0.00\);_(&quot;$&quot;* &quot;-&quot;??_);_(@_)">
                  <c:v>2297637.8572266153</c:v>
                </c:pt>
                <c:pt idx="21" formatCode="_(&quot;$&quot;* #,##0.00_);_(&quot;$&quot;* \(#,##0.00\);_(&quot;$&quot;* &quot;-&quot;??_);_(@_)">
                  <c:v>2298136.7418480595</c:v>
                </c:pt>
                <c:pt idx="22" formatCode="_(&quot;$&quot;* #,##0.00_);_(&quot;$&quot;* \(#,##0.00\);_(&quot;$&quot;* &quot;-&quot;??_);_(@_)">
                  <c:v>2298635.6264695041</c:v>
                </c:pt>
                <c:pt idx="23" formatCode="_(&quot;$&quot;* #,##0.00_);_(&quot;$&quot;* \(#,##0.00\);_(&quot;$&quot;* &quot;-&quot;??_);_(@_)">
                  <c:v>2299134.5110909482</c:v>
                </c:pt>
                <c:pt idx="24" formatCode="_(&quot;$&quot;* #,##0.00_);_(&quot;$&quot;* \(#,##0.00\);_(&quot;$&quot;* &quot;-&quot;??_);_(@_)">
                  <c:v>2299633.3957123924</c:v>
                </c:pt>
                <c:pt idx="25" formatCode="_(&quot;$&quot;* #,##0.00_);_(&quot;$&quot;* \(#,##0.00\);_(&quot;$&quot;* &quot;-&quot;??_);_(@_)">
                  <c:v>2300132.280333837</c:v>
                </c:pt>
                <c:pt idx="26" formatCode="_(&quot;$&quot;* #,##0.00_);_(&quot;$&quot;* \(#,##0.00\);_(&quot;$&quot;* &quot;-&quot;??_);_(@_)">
                  <c:v>2300631.1649552812</c:v>
                </c:pt>
                <c:pt idx="27" formatCode="_(&quot;$&quot;* #,##0.00_);_(&quot;$&quot;* \(#,##0.00\);_(&quot;$&quot;* &quot;-&quot;??_);_(@_)">
                  <c:v>2301130.0495767253</c:v>
                </c:pt>
                <c:pt idx="28" formatCode="_(&quot;$&quot;* #,##0.00_);_(&quot;$&quot;* \(#,##0.00\);_(&quot;$&quot;* &quot;-&quot;??_);_(@_)">
                  <c:v>2301628.93419817</c:v>
                </c:pt>
                <c:pt idx="29" formatCode="_(&quot;$&quot;* #,##0.00_);_(&quot;$&quot;* \(#,##0.00\);_(&quot;$&quot;* &quot;-&quot;??_);_(@_)">
                  <c:v>2302127.8188196141</c:v>
                </c:pt>
                <c:pt idx="30" formatCode="_(&quot;$&quot;* #,##0.00_);_(&quot;$&quot;* \(#,##0.00\);_(&quot;$&quot;* &quot;-&quot;??_);_(@_)">
                  <c:v>15197868.575264007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12-4E4D-9F7F-C38EAB31621B}"/>
            </c:ext>
          </c:extLst>
        </c:ser>
        <c:ser>
          <c:idx val="3"/>
          <c:order val="3"/>
          <c:tx>
            <c:strRef>
              <c:f>Benefits!$F$11</c:f>
              <c:strCache>
                <c:ptCount val="1"/>
                <c:pt idx="0">
                  <c:v>Present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5"/>
              <c:layout>
                <c:manualLayout>
                  <c:x val="6.0181210838380142E-2"/>
                  <c:y val="-0.1595442311255720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312-4E4D-9F7F-C38EAB31621B}"/>
                </c:ext>
              </c:extLst>
            </c:dLbl>
            <c:dLbl>
              <c:idx val="30"/>
              <c:layout>
                <c:manualLayout>
                  <c:x val="-0.13721316071150683"/>
                  <c:y val="-0.165242239380056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12-4E4D-9F7F-C38EAB3162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Benefits!$C$12:$C$42</c:f>
              <c:numCache>
                <c:formatCode>General</c:formatCode>
                <c:ptCount val="3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</c:numCache>
            </c:numRef>
          </c:cat>
          <c:val>
            <c:numRef>
              <c:f>Benefits!$F$12:$F$42</c:f>
              <c:numCache>
                <c:formatCode>_("$"* #,##0_);_("$"* \(#,##0\);_("$"* "-"??_);_(@_)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1661015.0537815024</c:v>
                </c:pt>
                <c:pt idx="6">
                  <c:v>1552682.945440887</c:v>
                </c:pt>
                <c:pt idx="7">
                  <c:v>1451477.8951463306</c:v>
                </c:pt>
                <c:pt idx="8">
                  <c:v>1356811.752724827</c:v>
                </c:pt>
                <c:pt idx="9">
                  <c:v>1260241.5033120441</c:v>
                </c:pt>
                <c:pt idx="10">
                  <c:v>1178049.4051320599</c:v>
                </c:pt>
                <c:pt idx="11">
                  <c:v>1101217.7689497457</c:v>
                </c:pt>
                <c:pt idx="12">
                  <c:v>1029396.9957379649</c:v>
                </c:pt>
                <c:pt idx="13">
                  <c:v>962260.28642632475</c:v>
                </c:pt>
                <c:pt idx="14">
                  <c:v>899502.1549605818</c:v>
                </c:pt>
                <c:pt idx="15">
                  <c:v>840837.03833463194</c:v>
                </c:pt>
                <c:pt idx="16">
                  <c:v>785997.99727096769</c:v>
                </c:pt>
                <c:pt idx="17">
                  <c:v>734735.50163790607</c:v>
                </c:pt>
                <c:pt idx="18">
                  <c:v>686816.29507743136</c:v>
                </c:pt>
                <c:pt idx="19">
                  <c:v>642022.33367787348</c:v>
                </c:pt>
                <c:pt idx="20">
                  <c:v>593753.2838918959</c:v>
                </c:pt>
                <c:pt idx="21">
                  <c:v>555030.09827877453</c:v>
                </c:pt>
                <c:pt idx="22">
                  <c:v>518832.32284451183</c:v>
                </c:pt>
                <c:pt idx="23">
                  <c:v>484995.25950605352</c:v>
                </c:pt>
                <c:pt idx="24">
                  <c:v>453364.95108607109</c:v>
                </c:pt>
                <c:pt idx="25">
                  <c:v>423797.48084386287</c:v>
                </c:pt>
                <c:pt idx="26">
                  <c:v>396158.31768695562</c:v>
                </c:pt>
                <c:pt idx="27">
                  <c:v>370321.70408439339</c:v>
                </c:pt>
                <c:pt idx="28">
                  <c:v>346170.0838969748</c:v>
                </c:pt>
                <c:pt idx="29">
                  <c:v>323593.56752129673</c:v>
                </c:pt>
                <c:pt idx="30">
                  <c:v>1996500.1816267658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12-4E4D-9F7F-C38EAB3162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7761064"/>
        <c:axId val="807764016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Benefits!$C$11</c15:sqref>
                        </c15:formulaRef>
                      </c:ext>
                    </c:extLst>
                    <c:strCache>
                      <c:ptCount val="1"/>
                      <c:pt idx="0">
                        <c:v>Year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Benefits!$C$12:$C$42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2022</c:v>
                      </c:pt>
                      <c:pt idx="1">
                        <c:v>2023</c:v>
                      </c:pt>
                      <c:pt idx="2">
                        <c:v>2024</c:v>
                      </c:pt>
                      <c:pt idx="3">
                        <c:v>2025</c:v>
                      </c:pt>
                      <c:pt idx="4">
                        <c:v>2026</c:v>
                      </c:pt>
                      <c:pt idx="5">
                        <c:v>2027</c:v>
                      </c:pt>
                      <c:pt idx="6">
                        <c:v>2028</c:v>
                      </c:pt>
                      <c:pt idx="7">
                        <c:v>2029</c:v>
                      </c:pt>
                      <c:pt idx="8">
                        <c:v>2030</c:v>
                      </c:pt>
                      <c:pt idx="9">
                        <c:v>2031</c:v>
                      </c:pt>
                      <c:pt idx="10">
                        <c:v>2032</c:v>
                      </c:pt>
                      <c:pt idx="11">
                        <c:v>2033</c:v>
                      </c:pt>
                      <c:pt idx="12">
                        <c:v>2034</c:v>
                      </c:pt>
                      <c:pt idx="13">
                        <c:v>2035</c:v>
                      </c:pt>
                      <c:pt idx="14">
                        <c:v>2036</c:v>
                      </c:pt>
                      <c:pt idx="15">
                        <c:v>2037</c:v>
                      </c:pt>
                      <c:pt idx="16">
                        <c:v>2038</c:v>
                      </c:pt>
                      <c:pt idx="17">
                        <c:v>2039</c:v>
                      </c:pt>
                      <c:pt idx="18">
                        <c:v>2040</c:v>
                      </c:pt>
                      <c:pt idx="19">
                        <c:v>2041</c:v>
                      </c:pt>
                      <c:pt idx="20">
                        <c:v>2042</c:v>
                      </c:pt>
                      <c:pt idx="21">
                        <c:v>2043</c:v>
                      </c:pt>
                      <c:pt idx="22">
                        <c:v>2044</c:v>
                      </c:pt>
                      <c:pt idx="23">
                        <c:v>2045</c:v>
                      </c:pt>
                      <c:pt idx="24">
                        <c:v>2046</c:v>
                      </c:pt>
                      <c:pt idx="25">
                        <c:v>2047</c:v>
                      </c:pt>
                      <c:pt idx="26">
                        <c:v>2048</c:v>
                      </c:pt>
                      <c:pt idx="27">
                        <c:v>2049</c:v>
                      </c:pt>
                      <c:pt idx="28">
                        <c:v>2050</c:v>
                      </c:pt>
                      <c:pt idx="29">
                        <c:v>2051</c:v>
                      </c:pt>
                      <c:pt idx="30">
                        <c:v>2052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Benefits!$C$12:$C$42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2022</c:v>
                      </c:pt>
                      <c:pt idx="1">
                        <c:v>2023</c:v>
                      </c:pt>
                      <c:pt idx="2">
                        <c:v>2024</c:v>
                      </c:pt>
                      <c:pt idx="3">
                        <c:v>2025</c:v>
                      </c:pt>
                      <c:pt idx="4">
                        <c:v>2026</c:v>
                      </c:pt>
                      <c:pt idx="5">
                        <c:v>2027</c:v>
                      </c:pt>
                      <c:pt idx="6">
                        <c:v>2028</c:v>
                      </c:pt>
                      <c:pt idx="7">
                        <c:v>2029</c:v>
                      </c:pt>
                      <c:pt idx="8">
                        <c:v>2030</c:v>
                      </c:pt>
                      <c:pt idx="9">
                        <c:v>2031</c:v>
                      </c:pt>
                      <c:pt idx="10">
                        <c:v>2032</c:v>
                      </c:pt>
                      <c:pt idx="11">
                        <c:v>2033</c:v>
                      </c:pt>
                      <c:pt idx="12">
                        <c:v>2034</c:v>
                      </c:pt>
                      <c:pt idx="13">
                        <c:v>2035</c:v>
                      </c:pt>
                      <c:pt idx="14">
                        <c:v>2036</c:v>
                      </c:pt>
                      <c:pt idx="15">
                        <c:v>2037</c:v>
                      </c:pt>
                      <c:pt idx="16">
                        <c:v>2038</c:v>
                      </c:pt>
                      <c:pt idx="17">
                        <c:v>2039</c:v>
                      </c:pt>
                      <c:pt idx="18">
                        <c:v>2040</c:v>
                      </c:pt>
                      <c:pt idx="19">
                        <c:v>2041</c:v>
                      </c:pt>
                      <c:pt idx="20">
                        <c:v>2042</c:v>
                      </c:pt>
                      <c:pt idx="21">
                        <c:v>2043</c:v>
                      </c:pt>
                      <c:pt idx="22">
                        <c:v>2044</c:v>
                      </c:pt>
                      <c:pt idx="23">
                        <c:v>2045</c:v>
                      </c:pt>
                      <c:pt idx="24">
                        <c:v>2046</c:v>
                      </c:pt>
                      <c:pt idx="25">
                        <c:v>2047</c:v>
                      </c:pt>
                      <c:pt idx="26">
                        <c:v>2048</c:v>
                      </c:pt>
                      <c:pt idx="27">
                        <c:v>2049</c:v>
                      </c:pt>
                      <c:pt idx="28">
                        <c:v>2050</c:v>
                      </c:pt>
                      <c:pt idx="29">
                        <c:v>2051</c:v>
                      </c:pt>
                      <c:pt idx="30">
                        <c:v>2052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4B1-4BE1-B8F2-1782935E9F99}"/>
                  </c:ext>
                </c:extLst>
              </c15:ser>
            </c15:filteredLineSeries>
            <c15:filteredLineSeries>
              <c15:ser>
                <c:idx val="2"/>
                <c:order val="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Benefits!$D$11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Benefits!$C$12:$C$42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2022</c:v>
                      </c:pt>
                      <c:pt idx="1">
                        <c:v>2023</c:v>
                      </c:pt>
                      <c:pt idx="2">
                        <c:v>2024</c:v>
                      </c:pt>
                      <c:pt idx="3">
                        <c:v>2025</c:v>
                      </c:pt>
                      <c:pt idx="4">
                        <c:v>2026</c:v>
                      </c:pt>
                      <c:pt idx="5">
                        <c:v>2027</c:v>
                      </c:pt>
                      <c:pt idx="6">
                        <c:v>2028</c:v>
                      </c:pt>
                      <c:pt idx="7">
                        <c:v>2029</c:v>
                      </c:pt>
                      <c:pt idx="8">
                        <c:v>2030</c:v>
                      </c:pt>
                      <c:pt idx="9">
                        <c:v>2031</c:v>
                      </c:pt>
                      <c:pt idx="10">
                        <c:v>2032</c:v>
                      </c:pt>
                      <c:pt idx="11">
                        <c:v>2033</c:v>
                      </c:pt>
                      <c:pt idx="12">
                        <c:v>2034</c:v>
                      </c:pt>
                      <c:pt idx="13">
                        <c:v>2035</c:v>
                      </c:pt>
                      <c:pt idx="14">
                        <c:v>2036</c:v>
                      </c:pt>
                      <c:pt idx="15">
                        <c:v>2037</c:v>
                      </c:pt>
                      <c:pt idx="16">
                        <c:v>2038</c:v>
                      </c:pt>
                      <c:pt idx="17">
                        <c:v>2039</c:v>
                      </c:pt>
                      <c:pt idx="18">
                        <c:v>2040</c:v>
                      </c:pt>
                      <c:pt idx="19">
                        <c:v>2041</c:v>
                      </c:pt>
                      <c:pt idx="20">
                        <c:v>2042</c:v>
                      </c:pt>
                      <c:pt idx="21">
                        <c:v>2043</c:v>
                      </c:pt>
                      <c:pt idx="22">
                        <c:v>2044</c:v>
                      </c:pt>
                      <c:pt idx="23">
                        <c:v>2045</c:v>
                      </c:pt>
                      <c:pt idx="24">
                        <c:v>2046</c:v>
                      </c:pt>
                      <c:pt idx="25">
                        <c:v>2047</c:v>
                      </c:pt>
                      <c:pt idx="26">
                        <c:v>2048</c:v>
                      </c:pt>
                      <c:pt idx="27">
                        <c:v>2049</c:v>
                      </c:pt>
                      <c:pt idx="28">
                        <c:v>2050</c:v>
                      </c:pt>
                      <c:pt idx="29">
                        <c:v>2051</c:v>
                      </c:pt>
                      <c:pt idx="30">
                        <c:v>2052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Benefits!$D$12:$D$42</c15:sqref>
                        </c15:formulaRef>
                      </c:ext>
                    </c:extLst>
                    <c:numCache>
                      <c:formatCode>_("$"* #,##0_);_("$"* \(#,##0\);_("$"* "-"??_);_(@_)</c:formatCode>
                      <c:ptCount val="31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4B1-4BE1-B8F2-1782935E9F99}"/>
                  </c:ext>
                </c:extLst>
              </c15:ser>
            </c15:filteredLineSeries>
          </c:ext>
        </c:extLst>
      </c:lineChart>
      <c:catAx>
        <c:axId val="807761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200000" spcFirstLastPara="1" vertOverflow="ellipsis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n-US"/>
          </a:p>
        </c:txPr>
        <c:crossAx val="807764016"/>
        <c:crosses val="autoZero"/>
        <c:auto val="1"/>
        <c:lblAlgn val="ctr"/>
        <c:lblOffset val="10"/>
        <c:tickLblSkip val="1"/>
        <c:noMultiLvlLbl val="0"/>
      </c:catAx>
      <c:valAx>
        <c:axId val="807764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n-US"/>
          </a:p>
        </c:txPr>
        <c:crossAx val="807761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47012171821034"/>
          <c:y val="0.20747255646299953"/>
          <c:w val="0.30211454565509266"/>
          <c:h val="9.38876203996903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Segoe UI" panose="020B0502040204020203" pitchFamily="34" charset="0"/>
          <a:cs typeface="Segoe UI" panose="020B050204020402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257810</xdr:colOff>
      <xdr:row>11</xdr:row>
      <xdr:rowOff>107950</xdr:rowOff>
    </xdr:from>
    <xdr:to>
      <xdr:col>15</xdr:col>
      <xdr:colOff>574039</xdr:colOff>
      <xdr:row>26</xdr:row>
      <xdr:rowOff>106362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D955C21-4E6F-4977-AEB7-39BEC170E3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1054938</xdr:colOff>
      <xdr:row>28</xdr:row>
      <xdr:rowOff>6917</xdr:rowOff>
    </xdr:from>
    <xdr:to>
      <xdr:col>17</xdr:col>
      <xdr:colOff>182402</xdr:colOff>
      <xdr:row>43</xdr:row>
      <xdr:rowOff>144304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29557EF-FCDF-409F-A37F-64A6CBE0A0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0.32907</cdr:x>
      <cdr:y>0.12374</cdr:y>
    </cdr:from>
    <cdr:to>
      <cdr:x>0.4163</cdr:x>
      <cdr:y>0.3172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EBB87472-E17E-44A2-9DC5-D5D32344B96F}"/>
            </a:ext>
          </a:extLst>
        </cdr:cNvPr>
        <cdr:cNvSpPr txBox="1"/>
      </cdr:nvSpPr>
      <cdr:spPr>
        <a:xfrm xmlns:a="http://schemas.openxmlformats.org/drawingml/2006/main">
          <a:off x="2304414" y="336892"/>
          <a:ext cx="610813" cy="5267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900">
              <a:latin typeface="Segoe UI" panose="020B0502040204020203" pitchFamily="34" charset="0"/>
              <a:cs typeface="Segoe UI" panose="020B0502040204020203" pitchFamily="34" charset="0"/>
            </a:rPr>
            <a:t>Costs:</a:t>
          </a:r>
        </a:p>
        <a:p xmlns:a="http://schemas.openxmlformats.org/drawingml/2006/main">
          <a:pPr algn="r"/>
          <a:r>
            <a:rPr lang="en-US" sz="900">
              <a:latin typeface="Segoe UI" panose="020B0502040204020203" pitchFamily="34" charset="0"/>
              <a:cs typeface="Segoe UI" panose="020B0502040204020203" pitchFamily="34" charset="0"/>
            </a:rPr>
            <a:t>Benefits: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414746</xdr:colOff>
      <xdr:row>17</xdr:row>
      <xdr:rowOff>15986</xdr:rowOff>
    </xdr:from>
    <xdr:to>
      <xdr:col>9</xdr:col>
      <xdr:colOff>542926</xdr:colOff>
      <xdr:row>28</xdr:row>
      <xdr:rowOff>150386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81852C7-0E6E-4125-9AD5-FD0A369149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305650</xdr:colOff>
      <xdr:row>1</xdr:row>
      <xdr:rowOff>127570</xdr:rowOff>
    </xdr:from>
    <xdr:to>
      <xdr:col>32</xdr:col>
      <xdr:colOff>114033</xdr:colOff>
      <xdr:row>13</xdr:row>
      <xdr:rowOff>70419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DA1454-E1C4-4C1F-88A9-5CFE6EC857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imple-BCA-Davi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Assumptions"/>
      <sheetName val="Costs"/>
      <sheetName val="Benefits"/>
    </sheetNames>
    <sheetDataSet>
      <sheetData sheetId="0">
        <row r="8">
          <cell r="M8" t="str">
            <v>N</v>
          </cell>
        </row>
        <row r="15">
          <cell r="B15">
            <v>0</v>
          </cell>
          <cell r="C15">
            <v>2022</v>
          </cell>
        </row>
        <row r="16">
          <cell r="B16">
            <v>1</v>
          </cell>
          <cell r="C16">
            <v>2023</v>
          </cell>
        </row>
        <row r="17">
          <cell r="B17">
            <v>2</v>
          </cell>
          <cell r="C17">
            <v>2024</v>
          </cell>
        </row>
        <row r="18">
          <cell r="B18">
            <v>3</v>
          </cell>
          <cell r="C18">
            <v>2025</v>
          </cell>
        </row>
        <row r="19">
          <cell r="B19">
            <v>4</v>
          </cell>
          <cell r="C19">
            <v>2026</v>
          </cell>
        </row>
        <row r="20">
          <cell r="B20">
            <v>5</v>
          </cell>
          <cell r="C20">
            <v>2027</v>
          </cell>
        </row>
        <row r="21">
          <cell r="B21">
            <v>6</v>
          </cell>
          <cell r="C21">
            <v>2028</v>
          </cell>
        </row>
        <row r="22">
          <cell r="B22">
            <v>7</v>
          </cell>
          <cell r="C22">
            <v>2029</v>
          </cell>
        </row>
        <row r="23">
          <cell r="B23">
            <v>8</v>
          </cell>
          <cell r="C23">
            <v>2030</v>
          </cell>
        </row>
        <row r="24">
          <cell r="B24">
            <v>9</v>
          </cell>
          <cell r="C24">
            <v>2031</v>
          </cell>
        </row>
        <row r="25">
          <cell r="B25">
            <v>10</v>
          </cell>
          <cell r="C25">
            <v>2032</v>
          </cell>
        </row>
        <row r="26">
          <cell r="B26">
            <v>11</v>
          </cell>
          <cell r="C26">
            <v>2033</v>
          </cell>
        </row>
        <row r="27">
          <cell r="B27">
            <v>12</v>
          </cell>
          <cell r="C27">
            <v>2034</v>
          </cell>
        </row>
        <row r="28">
          <cell r="B28">
            <v>13</v>
          </cell>
          <cell r="C28">
            <v>2035</v>
          </cell>
        </row>
        <row r="29">
          <cell r="B29">
            <v>14</v>
          </cell>
          <cell r="C29">
            <v>2036</v>
          </cell>
        </row>
        <row r="30">
          <cell r="B30">
            <v>15</v>
          </cell>
          <cell r="C30">
            <v>2037</v>
          </cell>
        </row>
        <row r="31">
          <cell r="B31">
            <v>16</v>
          </cell>
          <cell r="C31">
            <v>2038</v>
          </cell>
        </row>
        <row r="32">
          <cell r="B32">
            <v>17</v>
          </cell>
          <cell r="C32">
            <v>2039</v>
          </cell>
        </row>
        <row r="33">
          <cell r="B33">
            <v>18</v>
          </cell>
          <cell r="C33">
            <v>2040</v>
          </cell>
        </row>
        <row r="34">
          <cell r="B34">
            <v>19</v>
          </cell>
          <cell r="C34">
            <v>2041</v>
          </cell>
        </row>
        <row r="35">
          <cell r="B35">
            <v>20</v>
          </cell>
          <cell r="C35">
            <v>2042</v>
          </cell>
        </row>
        <row r="36">
          <cell r="B36">
            <v>21</v>
          </cell>
          <cell r="C36">
            <v>2043</v>
          </cell>
        </row>
        <row r="37">
          <cell r="B37">
            <v>22</v>
          </cell>
          <cell r="C37">
            <v>2044</v>
          </cell>
        </row>
        <row r="38">
          <cell r="B38">
            <v>23</v>
          </cell>
          <cell r="C38">
            <v>2045</v>
          </cell>
        </row>
      </sheetData>
      <sheetData sheetId="1">
        <row r="14">
          <cell r="R14">
            <v>4500</v>
          </cell>
        </row>
        <row r="15">
          <cell r="C15">
            <v>0.96610181818181928</v>
          </cell>
        </row>
        <row r="16">
          <cell r="D16">
            <v>0.93457943925233644</v>
          </cell>
        </row>
        <row r="17">
          <cell r="D17">
            <v>0.87343872827321156</v>
          </cell>
          <cell r="N17">
            <v>0</v>
          </cell>
        </row>
        <row r="22">
          <cell r="D22">
            <v>0.62274974188459109</v>
          </cell>
        </row>
        <row r="23">
          <cell r="D23">
            <v>0.5820091045650384</v>
          </cell>
        </row>
        <row r="24">
          <cell r="D24">
            <v>0.54393374258414806</v>
          </cell>
        </row>
        <row r="25">
          <cell r="D25">
            <v>0.5083492921347178</v>
          </cell>
        </row>
        <row r="26">
          <cell r="D26">
            <v>0.47509279638758667</v>
          </cell>
        </row>
        <row r="27">
          <cell r="D27">
            <v>0.44401195924073528</v>
          </cell>
        </row>
        <row r="28">
          <cell r="D28">
            <v>0.41496444788853759</v>
          </cell>
        </row>
        <row r="29">
          <cell r="D29">
            <v>0.3878172410173249</v>
          </cell>
        </row>
        <row r="30">
          <cell r="D30">
            <v>0.36244601964235967</v>
          </cell>
        </row>
        <row r="31">
          <cell r="D31">
            <v>0.33873459779659787</v>
          </cell>
        </row>
        <row r="32">
          <cell r="D32">
            <v>0.31657439046411018</v>
          </cell>
        </row>
        <row r="33">
          <cell r="D33">
            <v>0.29586391632159825</v>
          </cell>
        </row>
        <row r="34">
          <cell r="D34">
            <v>0.27650833301083949</v>
          </cell>
        </row>
        <row r="35">
          <cell r="D35">
            <v>0.2584190028138687</v>
          </cell>
        </row>
        <row r="36">
          <cell r="D36">
            <v>0.24151308674193336</v>
          </cell>
        </row>
        <row r="37">
          <cell r="D37">
            <v>0.22571316517937698</v>
          </cell>
        </row>
        <row r="38">
          <cell r="D38">
            <v>0.21094688334521211</v>
          </cell>
        </row>
        <row r="39">
          <cell r="D39">
            <v>0.19714661994879637</v>
          </cell>
        </row>
      </sheetData>
      <sheetData sheetId="2"/>
      <sheetData sheetId="3">
        <row r="7">
          <cell r="O7">
            <v>0.1</v>
          </cell>
        </row>
        <row r="11">
          <cell r="E11" t="str">
            <v>Real</v>
          </cell>
          <cell r="F11" t="str">
            <v>Present</v>
          </cell>
        </row>
        <row r="12">
          <cell r="C12">
            <v>2022</v>
          </cell>
          <cell r="E12">
            <v>0</v>
          </cell>
          <cell r="F12">
            <v>0</v>
          </cell>
        </row>
        <row r="13">
          <cell r="C13">
            <v>2023</v>
          </cell>
          <cell r="E13">
            <v>0</v>
          </cell>
          <cell r="F13">
            <v>0</v>
          </cell>
        </row>
        <row r="14">
          <cell r="C14">
            <v>2024</v>
          </cell>
          <cell r="E14">
            <v>1181819.7755193897</v>
          </cell>
          <cell r="F14">
            <v>964716.97362410091</v>
          </cell>
        </row>
        <row r="15">
          <cell r="C15">
            <v>2025</v>
          </cell>
          <cell r="E15">
            <v>4963955.4896079823</v>
          </cell>
          <cell r="F15">
            <v>3786977.8758389587</v>
          </cell>
        </row>
        <row r="16">
          <cell r="C16">
            <v>2026</v>
          </cell>
          <cell r="E16">
            <v>5171648.8225929486</v>
          </cell>
          <cell r="F16">
            <v>3687314.1356517584</v>
          </cell>
        </row>
        <row r="17">
          <cell r="C17">
            <v>2027</v>
          </cell>
          <cell r="E17">
            <v>5379342.1555770645</v>
          </cell>
          <cell r="F17">
            <v>3584482.8146171332</v>
          </cell>
        </row>
        <row r="18">
          <cell r="C18">
            <v>2028</v>
          </cell>
          <cell r="E18">
            <v>5587035.4885407221</v>
          </cell>
          <cell r="F18">
            <v>3479324.9083887851</v>
          </cell>
        </row>
        <row r="19">
          <cell r="C19">
            <v>2029</v>
          </cell>
          <cell r="E19">
            <v>5780237.2942529609</v>
          </cell>
          <cell r="F19">
            <v>3364150.7318016062</v>
          </cell>
        </row>
        <row r="20">
          <cell r="C20">
            <v>2030</v>
          </cell>
          <cell r="E20">
            <v>5987930.6272396315</v>
          </cell>
          <cell r="F20">
            <v>3257037.5164086982</v>
          </cell>
        </row>
        <row r="21">
          <cell r="C21">
            <v>2031</v>
          </cell>
          <cell r="E21">
            <v>6102403.2910911916</v>
          </cell>
          <cell r="F21">
            <v>3102152.3933467795</v>
          </cell>
        </row>
        <row r="22">
          <cell r="C22">
            <v>2032</v>
          </cell>
          <cell r="E22">
            <v>6216875.9549427312</v>
          </cell>
          <cell r="F22">
            <v>2953592.9822284905</v>
          </cell>
        </row>
        <row r="23">
          <cell r="C23">
            <v>2033</v>
          </cell>
          <cell r="E23">
            <v>6331348.6187934391</v>
          </cell>
          <cell r="F23">
            <v>2811194.5048665982</v>
          </cell>
        </row>
        <row r="24">
          <cell r="C24">
            <v>2034</v>
          </cell>
          <cell r="E24">
            <v>6421668.7371896021</v>
          </cell>
          <cell r="F24">
            <v>2664764.2220509658</v>
          </cell>
        </row>
        <row r="25">
          <cell r="C25">
            <v>2035</v>
          </cell>
          <cell r="E25">
            <v>6536141.4010411622</v>
          </cell>
          <cell r="F25">
            <v>2534828.325050896</v>
          </cell>
        </row>
        <row r="26">
          <cell r="C26">
            <v>2036</v>
          </cell>
          <cell r="E26">
            <v>6650614.0648918776</v>
          </cell>
          <cell r="F26">
            <v>2410488.5959975552</v>
          </cell>
        </row>
        <row r="27">
          <cell r="C27">
            <v>2037</v>
          </cell>
          <cell r="E27">
            <v>6765086.7287434181</v>
          </cell>
          <cell r="F27">
            <v>2291568.9321200037</v>
          </cell>
        </row>
        <row r="28">
          <cell r="C28">
            <v>2038</v>
          </cell>
          <cell r="E28">
            <v>6879559.3925941251</v>
          </cell>
          <cell r="F28">
            <v>2177892.321372129</v>
          </cell>
        </row>
        <row r="29">
          <cell r="C29">
            <v>2039</v>
          </cell>
          <cell r="E29">
            <v>6994032.0564456843</v>
          </cell>
          <cell r="F29">
            <v>2069281.7150988218</v>
          </cell>
        </row>
        <row r="30">
          <cell r="C30">
            <v>2040</v>
          </cell>
          <cell r="E30">
            <v>7108504.7202955419</v>
          </cell>
          <cell r="F30">
            <v>1965560.7904086041</v>
          </cell>
        </row>
        <row r="31">
          <cell r="C31">
            <v>2041</v>
          </cell>
          <cell r="E31">
            <v>7222977.3841471011</v>
          </cell>
          <cell r="F31">
            <v>1866554.6129584198</v>
          </cell>
        </row>
        <row r="32">
          <cell r="C32">
            <v>2042</v>
          </cell>
          <cell r="E32">
            <v>7337450.0479969364</v>
          </cell>
          <cell r="F32">
            <v>1772090.2099064873</v>
          </cell>
        </row>
        <row r="33">
          <cell r="C33">
            <v>2043</v>
          </cell>
          <cell r="E33">
            <v>7451922.7118484955</v>
          </cell>
          <cell r="F33">
            <v>1681997.0619634103</v>
          </cell>
        </row>
        <row r="34">
          <cell r="C34">
            <v>2044</v>
          </cell>
          <cell r="E34">
            <v>7566395.3757000556</v>
          </cell>
          <cell r="F34">
            <v>1596107.5226615521</v>
          </cell>
        </row>
        <row r="35">
          <cell r="C35">
            <v>2045</v>
          </cell>
          <cell r="E35">
            <v>23623259.773797866</v>
          </cell>
          <cell r="F35">
            <v>4657245.8165766168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nhts.ornl.gov/vehicle-trips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s://nmcdn.io/e186d21f8c7946a19faed23c3da2f0da/8bfec28a290449a7b10eb1fee3a0e264/files/programs-studies/bicycle-and-pedestrian/triangle-bicycle-pedestrian-workshop/Bridging_the_Gap-American_Tobacco_Trai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FA273-9A5A-425F-A507-936649507934}">
  <dimension ref="B1:P50"/>
  <sheetViews>
    <sheetView tabSelected="1" workbookViewId="0">
      <selection activeCell="B2" sqref="B2:G10"/>
    </sheetView>
  </sheetViews>
  <sheetFormatPr defaultColWidth="11.28515625" defaultRowHeight="15" customHeight="1"/>
  <cols>
    <col min="1" max="1" width="5.7109375" style="2" customWidth="1"/>
    <col min="2" max="3" width="9.7109375" style="2" customWidth="1"/>
    <col min="4" max="22" width="16.7109375" style="2" customWidth="1"/>
    <col min="23" max="16384" width="11.28515625" style="2"/>
  </cols>
  <sheetData>
    <row r="1" spans="2:14" thickBot="1">
      <c r="B1" s="1"/>
    </row>
    <row r="2" spans="2:14" ht="14.25">
      <c r="B2" s="499" t="s">
        <v>233</v>
      </c>
      <c r="C2" s="456"/>
      <c r="D2" s="456"/>
      <c r="E2" s="456"/>
      <c r="F2" s="456"/>
      <c r="G2" s="457"/>
    </row>
    <row r="3" spans="2:14" ht="14.25">
      <c r="B3" s="458" t="s">
        <v>237</v>
      </c>
      <c r="C3" s="459"/>
      <c r="D3" s="459"/>
      <c r="E3" s="459"/>
      <c r="F3" s="459"/>
      <c r="G3" s="460"/>
    </row>
    <row r="4" spans="2:14" ht="14.25">
      <c r="B4" s="497">
        <v>44682</v>
      </c>
      <c r="C4" s="459"/>
      <c r="D4" s="459"/>
      <c r="E4" s="459"/>
      <c r="F4" s="459"/>
      <c r="G4" s="460"/>
      <c r="I4" s="7"/>
      <c r="J4" s="7"/>
      <c r="K4" s="7"/>
      <c r="L4" s="7"/>
      <c r="M4" s="7"/>
      <c r="N4" s="7"/>
    </row>
    <row r="5" spans="2:14" ht="14.25">
      <c r="B5" s="461"/>
      <c r="C5" s="459"/>
      <c r="D5" s="459" t="s">
        <v>0</v>
      </c>
      <c r="E5" s="459" t="s">
        <v>216</v>
      </c>
      <c r="F5" s="459" t="s">
        <v>1</v>
      </c>
      <c r="G5" s="460" t="s">
        <v>2</v>
      </c>
      <c r="I5" s="498"/>
      <c r="J5" s="498"/>
      <c r="K5" s="7"/>
      <c r="L5" s="7"/>
      <c r="M5" s="7"/>
      <c r="N5" s="7"/>
    </row>
    <row r="6" spans="2:14" ht="14.25">
      <c r="B6" s="461"/>
      <c r="C6" s="462" t="s">
        <v>3</v>
      </c>
      <c r="D6" s="463">
        <f>SUM(D15:D45)</f>
        <v>26048388.581082355</v>
      </c>
      <c r="E6" s="463">
        <f>SUM(E15:E45)</f>
        <v>25790483.743645899</v>
      </c>
      <c r="F6" s="463">
        <f>SUM(F15:F45)</f>
        <v>20565125.421809308</v>
      </c>
      <c r="G6" s="464">
        <f>F6/1000000</f>
        <v>20.565125421809309</v>
      </c>
      <c r="I6" s="498"/>
      <c r="J6" s="498"/>
      <c r="K6" s="7"/>
      <c r="L6" s="7"/>
      <c r="M6" s="7"/>
      <c r="N6" s="7"/>
    </row>
    <row r="7" spans="2:14" ht="14.25">
      <c r="B7" s="461"/>
      <c r="C7" s="462" t="s">
        <v>4</v>
      </c>
      <c r="D7" s="463"/>
      <c r="E7" s="463">
        <f>SUM(H15:H45)</f>
        <v>73031893.708826005</v>
      </c>
      <c r="F7" s="463">
        <f>SUM(I14:I45)</f>
        <v>22605582.178878639</v>
      </c>
      <c r="G7" s="464">
        <f>F7/1000000</f>
        <v>22.605582178878638</v>
      </c>
      <c r="I7" s="210"/>
      <c r="J7" s="211"/>
      <c r="K7" s="7"/>
      <c r="L7" s="214"/>
      <c r="M7" s="214"/>
      <c r="N7" s="7"/>
    </row>
    <row r="8" spans="2:14" ht="14.25">
      <c r="B8" s="461"/>
      <c r="C8" s="459"/>
      <c r="D8" s="459"/>
      <c r="E8" s="465"/>
      <c r="F8" s="459"/>
      <c r="G8" s="466"/>
      <c r="I8" s="210"/>
      <c r="J8" s="211"/>
      <c r="K8" s="7"/>
      <c r="L8" s="212"/>
      <c r="M8" s="213"/>
      <c r="N8" s="7"/>
    </row>
    <row r="9" spans="2:14" ht="14.25">
      <c r="B9" s="461"/>
      <c r="C9" s="459"/>
      <c r="D9" s="459"/>
      <c r="E9" s="462" t="s">
        <v>5</v>
      </c>
      <c r="F9" s="463">
        <f>(F7-F6)</f>
        <v>2040456.7570693307</v>
      </c>
      <c r="G9" s="464">
        <f t="shared" ref="G9" si="0">F9/1000000</f>
        <v>2.0404567570693306</v>
      </c>
      <c r="I9" s="210"/>
      <c r="J9" s="211"/>
      <c r="K9" s="7"/>
      <c r="L9" s="215"/>
      <c r="M9" s="214"/>
      <c r="N9" s="7"/>
    </row>
    <row r="10" spans="2:14" thickBot="1">
      <c r="B10" s="467"/>
      <c r="C10" s="468"/>
      <c r="D10" s="468"/>
      <c r="E10" s="469" t="s">
        <v>6</v>
      </c>
      <c r="F10" s="470">
        <f>(SUM(I15:I45)-SUM(F21:F45))/SUM(F15:F20)</f>
        <v>1.0992192712282429</v>
      </c>
      <c r="G10" s="471"/>
      <c r="I10" s="7"/>
      <c r="J10" s="7"/>
      <c r="K10" s="7"/>
      <c r="L10" s="7"/>
      <c r="M10" s="7"/>
      <c r="N10" s="7"/>
    </row>
    <row r="11" spans="2:14" ht="14.25">
      <c r="B11" s="1"/>
      <c r="F11" s="3"/>
    </row>
    <row r="12" spans="2:14" thickBot="1">
      <c r="B12" s="1"/>
      <c r="I12" s="4"/>
    </row>
    <row r="13" spans="2:14" ht="14.25">
      <c r="B13" s="472"/>
      <c r="C13" s="473"/>
      <c r="D13" s="474" t="s">
        <v>7</v>
      </c>
      <c r="E13" s="474"/>
      <c r="F13" s="475"/>
      <c r="H13" s="487" t="s">
        <v>8</v>
      </c>
      <c r="I13" s="475"/>
    </row>
    <row r="14" spans="2:14" ht="14.25">
      <c r="B14" s="476" t="s">
        <v>9</v>
      </c>
      <c r="C14" s="477" t="s">
        <v>9</v>
      </c>
      <c r="D14" s="477" t="s">
        <v>10</v>
      </c>
      <c r="E14" s="477" t="s">
        <v>11</v>
      </c>
      <c r="F14" s="478" t="s">
        <v>12</v>
      </c>
      <c r="H14" s="476" t="s">
        <v>11</v>
      </c>
      <c r="I14" s="478" t="s">
        <v>12</v>
      </c>
    </row>
    <row r="15" spans="2:14" ht="14.25">
      <c r="B15" s="476">
        <v>0</v>
      </c>
      <c r="C15" s="477">
        <v>2022</v>
      </c>
      <c r="D15" s="479">
        <v>0</v>
      </c>
      <c r="E15" s="479">
        <v>0</v>
      </c>
      <c r="F15" s="480">
        <v>0</v>
      </c>
      <c r="G15" s="5"/>
      <c r="H15" s="488">
        <f>Benefits!E12</f>
        <v>0</v>
      </c>
      <c r="I15" s="480">
        <f>H15*Assumptions!D16</f>
        <v>0</v>
      </c>
    </row>
    <row r="16" spans="2:14" ht="14.25">
      <c r="B16" s="476">
        <f>B15+1</f>
        <v>1</v>
      </c>
      <c r="C16" s="477">
        <f>C15+1</f>
        <v>2023</v>
      </c>
      <c r="D16" s="390">
        <v>217514.17398857154</v>
      </c>
      <c r="E16" s="395">
        <v>215360.56830551638</v>
      </c>
      <c r="F16" s="481">
        <v>201271.559164034</v>
      </c>
      <c r="G16" s="5"/>
      <c r="H16" s="488">
        <f>Benefits!E13</f>
        <v>0</v>
      </c>
      <c r="I16" s="480">
        <f>H16*Assumptions!D17</f>
        <v>0</v>
      </c>
    </row>
    <row r="17" spans="2:16" ht="14.25">
      <c r="B17" s="476">
        <f t="shared" ref="B17:C32" si="1">B16+1</f>
        <v>2</v>
      </c>
      <c r="C17" s="477">
        <f t="shared" si="1"/>
        <v>2024</v>
      </c>
      <c r="D17" s="390">
        <v>5216075.1919220174</v>
      </c>
      <c r="E17" s="395">
        <v>5164430.8830911061</v>
      </c>
      <c r="F17" s="481">
        <v>4510813.9427819951</v>
      </c>
      <c r="G17" s="5"/>
      <c r="H17" s="488">
        <f>Benefits!E14</f>
        <v>0</v>
      </c>
      <c r="I17" s="480">
        <f>H17*Assumptions!D18</f>
        <v>0</v>
      </c>
    </row>
    <row r="18" spans="2:16" ht="14.25">
      <c r="B18" s="476">
        <f t="shared" si="1"/>
        <v>3</v>
      </c>
      <c r="C18" s="477">
        <f t="shared" si="1"/>
        <v>2025</v>
      </c>
      <c r="D18" s="390">
        <v>7737094.3869926613</v>
      </c>
      <c r="E18" s="395">
        <v>7660489.4920719415</v>
      </c>
      <c r="F18" s="482">
        <v>6253241.3083230061</v>
      </c>
      <c r="G18" s="5"/>
      <c r="H18" s="488">
        <f>Benefits!E15</f>
        <v>0</v>
      </c>
      <c r="I18" s="480">
        <f>H18*Assumptions!D19</f>
        <v>0</v>
      </c>
    </row>
    <row r="19" spans="2:16" ht="14.25">
      <c r="B19" s="476">
        <f t="shared" si="1"/>
        <v>4</v>
      </c>
      <c r="C19" s="477">
        <f t="shared" si="1"/>
        <v>2026</v>
      </c>
      <c r="D19" s="390">
        <v>10302163.862543285</v>
      </c>
      <c r="E19" s="395">
        <v>10200162.240141867</v>
      </c>
      <c r="F19" s="482">
        <v>7781654.9351121886</v>
      </c>
      <c r="G19" s="5"/>
      <c r="H19" s="488">
        <f>Benefits!E16</f>
        <v>0</v>
      </c>
      <c r="I19" s="480">
        <f>H19*Assumptions!D20</f>
        <v>0</v>
      </c>
    </row>
    <row r="20" spans="2:16" ht="14.25">
      <c r="B20" s="476">
        <f t="shared" si="1"/>
        <v>5</v>
      </c>
      <c r="C20" s="477">
        <f t="shared" si="1"/>
        <v>2027</v>
      </c>
      <c r="D20" s="390">
        <v>2575540.9656358212</v>
      </c>
      <c r="E20" s="395">
        <v>2550040.5600354667</v>
      </c>
      <c r="F20" s="482">
        <v>1818143.6764280815</v>
      </c>
      <c r="G20" s="5"/>
      <c r="H20" s="488">
        <f>Benefits!E17</f>
        <v>2329659.5384</v>
      </c>
      <c r="I20" s="480">
        <f>H20*Assumptions!D21</f>
        <v>1661015.0537815024</v>
      </c>
    </row>
    <row r="21" spans="2:16" ht="14.25">
      <c r="B21" s="476">
        <f t="shared" si="1"/>
        <v>6</v>
      </c>
      <c r="C21" s="477">
        <f t="shared" si="1"/>
        <v>2028</v>
      </c>
      <c r="D21" s="479">
        <v>0</v>
      </c>
      <c r="E21" s="479">
        <v>0</v>
      </c>
      <c r="F21" s="480">
        <v>0</v>
      </c>
      <c r="G21" s="5"/>
      <c r="H21" s="488">
        <f>Benefits!E18</f>
        <v>2330158.4230214441</v>
      </c>
      <c r="I21" s="480">
        <f>H21*Assumptions!D22</f>
        <v>1552682.945440887</v>
      </c>
    </row>
    <row r="22" spans="2:16" ht="14.25">
      <c r="B22" s="476">
        <f t="shared" si="1"/>
        <v>7</v>
      </c>
      <c r="C22" s="477">
        <f t="shared" si="1"/>
        <v>2029</v>
      </c>
      <c r="D22" s="479">
        <v>0</v>
      </c>
      <c r="E22" s="479">
        <v>0</v>
      </c>
      <c r="F22" s="480">
        <v>0</v>
      </c>
      <c r="G22" s="5"/>
      <c r="H22" s="488">
        <f>Benefits!E19</f>
        <v>2330756.3175438787</v>
      </c>
      <c r="I22" s="480">
        <f>H22*Assumptions!D23</f>
        <v>1451477.8951463306</v>
      </c>
    </row>
    <row r="23" spans="2:16" ht="14.25">
      <c r="B23" s="476">
        <f t="shared" si="1"/>
        <v>8</v>
      </c>
      <c r="C23" s="477">
        <f t="shared" si="1"/>
        <v>2030</v>
      </c>
      <c r="D23" s="479">
        <v>0</v>
      </c>
      <c r="E23" s="479">
        <v>0</v>
      </c>
      <c r="F23" s="480">
        <v>0</v>
      </c>
      <c r="G23" s="5"/>
      <c r="H23" s="488">
        <f>Benefits!E20</f>
        <v>2331255.2021653228</v>
      </c>
      <c r="I23" s="480">
        <f>H23*Assumptions!D24</f>
        <v>1356811.752724827</v>
      </c>
    </row>
    <row r="24" spans="2:16" ht="14.25">
      <c r="B24" s="476">
        <f t="shared" si="1"/>
        <v>9</v>
      </c>
      <c r="C24" s="477">
        <f t="shared" si="1"/>
        <v>2031</v>
      </c>
      <c r="D24" s="479">
        <v>0</v>
      </c>
      <c r="E24" s="479">
        <v>0</v>
      </c>
      <c r="F24" s="480">
        <v>0</v>
      </c>
      <c r="G24" s="5"/>
      <c r="H24" s="488">
        <f>Benefits!E21</f>
        <v>2316902.6016382524</v>
      </c>
      <c r="I24" s="480">
        <f>H24*Assumptions!D25</f>
        <v>1260241.5033120441</v>
      </c>
    </row>
    <row r="25" spans="2:16" ht="14.25">
      <c r="B25" s="476">
        <f t="shared" si="1"/>
        <v>10</v>
      </c>
      <c r="C25" s="477">
        <f t="shared" si="1"/>
        <v>2032</v>
      </c>
      <c r="D25" s="479">
        <v>0</v>
      </c>
      <c r="E25" s="479">
        <v>0</v>
      </c>
      <c r="F25" s="480">
        <v>0</v>
      </c>
      <c r="G25" s="5"/>
      <c r="H25" s="488">
        <f>Benefits!E22</f>
        <v>2317401.486259697</v>
      </c>
      <c r="I25" s="480">
        <f>H25*Assumptions!D26</f>
        <v>1178049.4051320599</v>
      </c>
    </row>
    <row r="26" spans="2:16" ht="14.25">
      <c r="B26" s="476">
        <f t="shared" si="1"/>
        <v>11</v>
      </c>
      <c r="C26" s="477">
        <f t="shared" si="1"/>
        <v>2033</v>
      </c>
      <c r="D26" s="479">
        <v>0</v>
      </c>
      <c r="E26" s="479">
        <v>0</v>
      </c>
      <c r="F26" s="480">
        <v>0</v>
      </c>
      <c r="G26" s="5"/>
      <c r="H26" s="488">
        <f>Benefits!E23</f>
        <v>2317900.3708811412</v>
      </c>
      <c r="I26" s="480">
        <f>H26*Assumptions!D27</f>
        <v>1101217.7689497457</v>
      </c>
    </row>
    <row r="27" spans="2:16" ht="14.25">
      <c r="B27" s="476">
        <f t="shared" si="1"/>
        <v>12</v>
      </c>
      <c r="C27" s="477">
        <f t="shared" si="1"/>
        <v>2034</v>
      </c>
      <c r="D27" s="479">
        <v>0</v>
      </c>
      <c r="E27" s="479">
        <v>0</v>
      </c>
      <c r="F27" s="480">
        <v>0</v>
      </c>
      <c r="G27" s="5"/>
      <c r="H27" s="488">
        <f>Benefits!E24</f>
        <v>2318399.2555025853</v>
      </c>
      <c r="I27" s="480">
        <f>H27*Assumptions!D28</f>
        <v>1029396.9957379649</v>
      </c>
    </row>
    <row r="28" spans="2:16" ht="14.25">
      <c r="B28" s="476">
        <f t="shared" si="1"/>
        <v>13</v>
      </c>
      <c r="C28" s="477">
        <f t="shared" si="1"/>
        <v>2035</v>
      </c>
      <c r="D28" s="479">
        <v>0</v>
      </c>
      <c r="E28" s="479">
        <v>0</v>
      </c>
      <c r="F28" s="480">
        <v>0</v>
      </c>
      <c r="G28" s="5"/>
      <c r="H28" s="488">
        <f>Benefits!E25</f>
        <v>2318898.1401240299</v>
      </c>
      <c r="I28" s="480">
        <f>H28*Assumptions!D29</f>
        <v>962260.28642632475</v>
      </c>
    </row>
    <row r="29" spans="2:16" ht="14.25">
      <c r="B29" s="476">
        <f t="shared" si="1"/>
        <v>14</v>
      </c>
      <c r="C29" s="477">
        <f t="shared" si="1"/>
        <v>2036</v>
      </c>
      <c r="D29" s="479">
        <v>0</v>
      </c>
      <c r="E29" s="479">
        <v>0</v>
      </c>
      <c r="F29" s="480">
        <v>0</v>
      </c>
      <c r="G29" s="5"/>
      <c r="H29" s="488">
        <f>Benefits!E26</f>
        <v>2319397.0247454741</v>
      </c>
      <c r="I29" s="480">
        <f>H29*Assumptions!D30</f>
        <v>899502.1549605818</v>
      </c>
    </row>
    <row r="30" spans="2:16" thickBot="1">
      <c r="B30" s="476">
        <f t="shared" si="1"/>
        <v>15</v>
      </c>
      <c r="C30" s="477">
        <f t="shared" si="1"/>
        <v>2037</v>
      </c>
      <c r="D30" s="479">
        <v>0</v>
      </c>
      <c r="E30" s="479">
        <v>0</v>
      </c>
      <c r="F30" s="480">
        <v>0</v>
      </c>
      <c r="G30" s="5"/>
      <c r="H30" s="488">
        <f>Benefits!E27</f>
        <v>2319895.9093669183</v>
      </c>
      <c r="I30" s="480">
        <f>H30*Assumptions!D31</f>
        <v>840837.03833463194</v>
      </c>
      <c r="L30" s="5"/>
      <c r="O30" s="5"/>
      <c r="P30" s="6"/>
    </row>
    <row r="31" spans="2:16" ht="15.75" customHeight="1" thickBot="1">
      <c r="B31" s="476">
        <f t="shared" si="1"/>
        <v>16</v>
      </c>
      <c r="C31" s="477">
        <f t="shared" si="1"/>
        <v>2038</v>
      </c>
      <c r="D31" s="479">
        <v>0</v>
      </c>
      <c r="E31" s="479">
        <v>0</v>
      </c>
      <c r="F31" s="480">
        <v>0</v>
      </c>
      <c r="G31" s="5"/>
      <c r="H31" s="488">
        <f>Benefits!E28</f>
        <v>2320394.7939883629</v>
      </c>
      <c r="I31" s="480">
        <f>H31*Assumptions!D32</f>
        <v>785997.99727096769</v>
      </c>
      <c r="K31" s="495" t="s">
        <v>232</v>
      </c>
      <c r="L31" s="496"/>
      <c r="P31" s="6"/>
    </row>
    <row r="32" spans="2:16" ht="14.25">
      <c r="B32" s="476">
        <f t="shared" si="1"/>
        <v>17</v>
      </c>
      <c r="C32" s="477">
        <f t="shared" si="1"/>
        <v>2039</v>
      </c>
      <c r="D32" s="479">
        <v>0</v>
      </c>
      <c r="E32" s="479">
        <v>0</v>
      </c>
      <c r="F32" s="480">
        <v>0</v>
      </c>
      <c r="G32" s="5"/>
      <c r="H32" s="488">
        <f>Benefits!E29</f>
        <v>2320893.678609807</v>
      </c>
      <c r="I32" s="480">
        <f>H32*Assumptions!D33</f>
        <v>734735.50163790607</v>
      </c>
      <c r="K32" s="490" t="s">
        <v>8</v>
      </c>
      <c r="L32" s="491" t="s">
        <v>10</v>
      </c>
      <c r="P32" s="6"/>
    </row>
    <row r="33" spans="2:16" ht="14.25">
      <c r="B33" s="476">
        <f t="shared" ref="B33:C38" si="2">B32+1</f>
        <v>18</v>
      </c>
      <c r="C33" s="477">
        <f t="shared" si="2"/>
        <v>2040</v>
      </c>
      <c r="D33" s="479">
        <v>0</v>
      </c>
      <c r="E33" s="479">
        <v>0</v>
      </c>
      <c r="F33" s="480">
        <v>0</v>
      </c>
      <c r="G33" s="5"/>
      <c r="H33" s="488">
        <f>Benefits!E30</f>
        <v>2321392.5632312512</v>
      </c>
      <c r="I33" s="480">
        <f>H33*Assumptions!D34</f>
        <v>686816.29507743136</v>
      </c>
      <c r="K33" s="492" t="s">
        <v>167</v>
      </c>
      <c r="L33" s="493">
        <f>SUM(Benefits!I12:I42)</f>
        <v>244050.52058838043</v>
      </c>
      <c r="O33" s="6"/>
      <c r="P33" s="6"/>
    </row>
    <row r="34" spans="2:16" ht="14.25">
      <c r="B34" s="476">
        <f t="shared" si="2"/>
        <v>19</v>
      </c>
      <c r="C34" s="477">
        <f t="shared" si="2"/>
        <v>2041</v>
      </c>
      <c r="D34" s="479">
        <v>0</v>
      </c>
      <c r="E34" s="479">
        <v>0</v>
      </c>
      <c r="F34" s="480">
        <v>0</v>
      </c>
      <c r="G34" s="5"/>
      <c r="H34" s="488">
        <f>Benefits!E31</f>
        <v>2321891.4478526958</v>
      </c>
      <c r="I34" s="480">
        <f>H34*Assumptions!D35</f>
        <v>642022.33367787348</v>
      </c>
      <c r="K34" s="492" t="s">
        <v>228</v>
      </c>
      <c r="L34" s="493">
        <f>SUM(Benefits!L12:L42)</f>
        <v>15886.76575396513</v>
      </c>
      <c r="O34" s="6"/>
    </row>
    <row r="35" spans="2:16" ht="14.25">
      <c r="B35" s="476">
        <f t="shared" si="2"/>
        <v>20</v>
      </c>
      <c r="C35" s="477">
        <f t="shared" si="2"/>
        <v>2042</v>
      </c>
      <c r="D35" s="479">
        <v>0</v>
      </c>
      <c r="E35" s="479">
        <v>0</v>
      </c>
      <c r="F35" s="480">
        <v>0</v>
      </c>
      <c r="G35" s="5"/>
      <c r="H35" s="488">
        <f>Benefits!E32</f>
        <v>2297637.8572266153</v>
      </c>
      <c r="I35" s="480">
        <f>H35*Assumptions!D36</f>
        <v>593753.2838918959</v>
      </c>
      <c r="K35" s="492" t="s">
        <v>13</v>
      </c>
      <c r="L35" s="493">
        <f>SUM(Benefits!R12:R42)</f>
        <v>60705060</v>
      </c>
      <c r="O35" s="6"/>
    </row>
    <row r="36" spans="2:16" ht="14.25">
      <c r="B36" s="476">
        <f t="shared" si="2"/>
        <v>21</v>
      </c>
      <c r="C36" s="477">
        <f t="shared" si="2"/>
        <v>2043</v>
      </c>
      <c r="D36" s="479">
        <v>0</v>
      </c>
      <c r="E36" s="479">
        <v>0</v>
      </c>
      <c r="F36" s="480">
        <v>0</v>
      </c>
      <c r="G36" s="5"/>
      <c r="H36" s="488">
        <f>Benefits!E33</f>
        <v>2298136.7418480595</v>
      </c>
      <c r="I36" s="480">
        <f>H36*Assumptions!D37</f>
        <v>555030.09827877453</v>
      </c>
      <c r="K36" s="492" t="s">
        <v>14</v>
      </c>
      <c r="L36" s="493">
        <f>SUM(Benefits!U12:V42)</f>
        <v>12159194.290541178</v>
      </c>
      <c r="O36" s="6"/>
    </row>
    <row r="37" spans="2:16" thickBot="1">
      <c r="B37" s="476">
        <f t="shared" si="2"/>
        <v>22</v>
      </c>
      <c r="C37" s="477">
        <f t="shared" si="2"/>
        <v>2044</v>
      </c>
      <c r="D37" s="479">
        <v>0</v>
      </c>
      <c r="E37" s="479">
        <v>0</v>
      </c>
      <c r="F37" s="480">
        <v>0</v>
      </c>
      <c r="G37" s="5"/>
      <c r="H37" s="488">
        <f>Benefits!E34</f>
        <v>2298635.6264695041</v>
      </c>
      <c r="I37" s="480">
        <f>H37*Assumptions!D38</f>
        <v>518832.32284451183</v>
      </c>
      <c r="K37" s="483" t="s">
        <v>227</v>
      </c>
      <c r="L37" s="494">
        <f>SUM(Benefits!O17:O42)</f>
        <v>28288.214027055888</v>
      </c>
    </row>
    <row r="38" spans="2:16" ht="14.25">
      <c r="B38" s="476">
        <f t="shared" si="2"/>
        <v>23</v>
      </c>
      <c r="C38" s="477">
        <f t="shared" si="2"/>
        <v>2045</v>
      </c>
      <c r="D38" s="479">
        <v>0</v>
      </c>
      <c r="E38" s="479">
        <v>0</v>
      </c>
      <c r="F38" s="480">
        <v>0</v>
      </c>
      <c r="G38" s="5"/>
      <c r="H38" s="488">
        <f>Benefits!E35</f>
        <v>2299134.5110909482</v>
      </c>
      <c r="I38" s="480">
        <f>H38*Assumptions!D39</f>
        <v>484995.25950605352</v>
      </c>
    </row>
    <row r="39" spans="2:16" ht="14.25">
      <c r="B39" s="476">
        <f t="shared" ref="B39:C39" si="3">B38+1</f>
        <v>24</v>
      </c>
      <c r="C39" s="477">
        <f t="shared" si="3"/>
        <v>2046</v>
      </c>
      <c r="D39" s="479">
        <v>0</v>
      </c>
      <c r="E39" s="479">
        <v>0</v>
      </c>
      <c r="F39" s="480">
        <v>0</v>
      </c>
      <c r="H39" s="488">
        <f>Benefits!E36</f>
        <v>2299633.3957123924</v>
      </c>
      <c r="I39" s="480">
        <f>H39*Assumptions!D40</f>
        <v>453364.95108607109</v>
      </c>
    </row>
    <row r="40" spans="2:16" ht="14.25">
      <c r="B40" s="476">
        <f t="shared" ref="B40:C40" si="4">B39+1</f>
        <v>25</v>
      </c>
      <c r="C40" s="477">
        <f t="shared" si="4"/>
        <v>2047</v>
      </c>
      <c r="D40" s="479">
        <v>0</v>
      </c>
      <c r="E40" s="479">
        <v>0</v>
      </c>
      <c r="F40" s="480">
        <v>0</v>
      </c>
      <c r="H40" s="488">
        <f>Benefits!E37</f>
        <v>2300132.280333837</v>
      </c>
      <c r="I40" s="480">
        <f>H40*Assumptions!D41</f>
        <v>423797.48084386287</v>
      </c>
    </row>
    <row r="41" spans="2:16" ht="14.25">
      <c r="B41" s="476">
        <f t="shared" ref="B41:C41" si="5">B40+1</f>
        <v>26</v>
      </c>
      <c r="C41" s="477">
        <f t="shared" si="5"/>
        <v>2048</v>
      </c>
      <c r="D41" s="479">
        <v>0</v>
      </c>
      <c r="E41" s="479">
        <v>0</v>
      </c>
      <c r="F41" s="480">
        <v>0</v>
      </c>
      <c r="H41" s="488">
        <f>Benefits!E38</f>
        <v>2300631.1649552812</v>
      </c>
      <c r="I41" s="480">
        <f>H41*Assumptions!D42</f>
        <v>396158.31768695562</v>
      </c>
    </row>
    <row r="42" spans="2:16" ht="14.25">
      <c r="B42" s="476">
        <f t="shared" ref="B42:C42" si="6">B41+1</f>
        <v>27</v>
      </c>
      <c r="C42" s="477">
        <f t="shared" si="6"/>
        <v>2049</v>
      </c>
      <c r="D42" s="479">
        <v>0</v>
      </c>
      <c r="E42" s="479">
        <v>0</v>
      </c>
      <c r="F42" s="480">
        <v>0</v>
      </c>
      <c r="H42" s="488">
        <f>Benefits!E39</f>
        <v>2301130.0495767253</v>
      </c>
      <c r="I42" s="480">
        <f>H42*Assumptions!D43</f>
        <v>370321.70408439339</v>
      </c>
    </row>
    <row r="43" spans="2:16" ht="14.25">
      <c r="B43" s="476">
        <f t="shared" ref="B43:C43" si="7">B42+1</f>
        <v>28</v>
      </c>
      <c r="C43" s="477">
        <f t="shared" si="7"/>
        <v>2050</v>
      </c>
      <c r="D43" s="479">
        <v>0</v>
      </c>
      <c r="E43" s="479">
        <v>0</v>
      </c>
      <c r="F43" s="480">
        <v>0</v>
      </c>
      <c r="H43" s="488">
        <f>Benefits!E40</f>
        <v>2301628.93419817</v>
      </c>
      <c r="I43" s="480">
        <f>H43*Assumptions!D44</f>
        <v>346170.0838969748</v>
      </c>
    </row>
    <row r="44" spans="2:16" ht="14.25">
      <c r="B44" s="476">
        <f t="shared" ref="B44:C44" si="8">B43+1</f>
        <v>29</v>
      </c>
      <c r="C44" s="477">
        <f t="shared" si="8"/>
        <v>2051</v>
      </c>
      <c r="D44" s="479">
        <v>0</v>
      </c>
      <c r="E44" s="479">
        <v>0</v>
      </c>
      <c r="F44" s="480">
        <v>0</v>
      </c>
      <c r="H44" s="488">
        <f>Benefits!E41</f>
        <v>2302127.8188196141</v>
      </c>
      <c r="I44" s="480">
        <f>H44*Assumptions!D45</f>
        <v>323593.56752129673</v>
      </c>
    </row>
    <row r="45" spans="2:16" thickBot="1">
      <c r="B45" s="483">
        <f t="shared" ref="B45:C45" si="9">B44+1</f>
        <v>30</v>
      </c>
      <c r="C45" s="484">
        <f t="shared" si="9"/>
        <v>2052</v>
      </c>
      <c r="D45" s="485">
        <v>0</v>
      </c>
      <c r="E45" s="485">
        <v>0</v>
      </c>
      <c r="F45" s="486">
        <v>0</v>
      </c>
      <c r="H45" s="489">
        <f>Benefits!E42</f>
        <v>15197868.575264007</v>
      </c>
      <c r="I45" s="486">
        <f>H45*Assumptions!D46</f>
        <v>1996500.1816267658</v>
      </c>
    </row>
    <row r="46" spans="2:16" ht="14.25"/>
    <row r="47" spans="2:16" ht="14.25"/>
    <row r="48" spans="2:16" ht="14.25"/>
    <row r="49" ht="14.25"/>
    <row r="50" ht="14.25"/>
  </sheetData>
  <mergeCells count="5">
    <mergeCell ref="K31:L31"/>
    <mergeCell ref="L7:M7"/>
    <mergeCell ref="L9:M9"/>
    <mergeCell ref="D13:F13"/>
    <mergeCell ref="H13:I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450A6-6604-478D-A99B-7C3B87162028}">
  <dimension ref="A1:AD164"/>
  <sheetViews>
    <sheetView zoomScale="70" zoomScaleNormal="70" workbookViewId="0">
      <selection activeCell="N10" sqref="N10"/>
    </sheetView>
  </sheetViews>
  <sheetFormatPr defaultColWidth="11.7109375" defaultRowHeight="14.25"/>
  <cols>
    <col min="1" max="1" width="8.7109375" style="8" customWidth="1"/>
    <col min="2" max="2" width="11.7109375" style="8"/>
    <col min="3" max="3" width="11.7109375" style="14"/>
    <col min="4" max="4" width="11.7109375" style="8"/>
    <col min="5" max="6" width="11.7109375" style="16"/>
    <col min="7" max="7" width="14.28515625" style="16" bestFit="1" customWidth="1"/>
    <col min="8" max="10" width="11.7109375" style="16"/>
    <col min="11" max="11" width="10.7109375" style="16" customWidth="1"/>
    <col min="12" max="15" width="10.7109375" style="8" customWidth="1"/>
    <col min="16" max="16" width="22.5703125" style="8" customWidth="1"/>
    <col min="17" max="17" width="15.28515625" style="8" customWidth="1"/>
    <col min="18" max="19" width="9.7109375" style="8" customWidth="1"/>
    <col min="20" max="20" width="26.140625" style="8" customWidth="1"/>
    <col min="21" max="21" width="9.7109375" style="8" customWidth="1"/>
    <col min="22" max="22" width="12.85546875" style="8" bestFit="1" customWidth="1"/>
    <col min="23" max="23" width="19.28515625" style="8" customWidth="1"/>
    <col min="24" max="24" width="14.5703125" style="8" bestFit="1" customWidth="1"/>
    <col min="25" max="25" width="18.5703125" style="8" customWidth="1"/>
    <col min="26" max="26" width="16.85546875" style="8" customWidth="1"/>
    <col min="27" max="27" width="23.140625" style="8" customWidth="1"/>
    <col min="28" max="31" width="9.7109375" style="8" customWidth="1"/>
    <col min="32" max="16384" width="11.7109375" style="8"/>
  </cols>
  <sheetData>
    <row r="1" spans="1:30" ht="15.75" thickBot="1">
      <c r="G1" s="45"/>
      <c r="P1" s="216" t="s">
        <v>192</v>
      </c>
      <c r="Q1" s="216"/>
      <c r="R1" s="216"/>
      <c r="T1" s="274" t="s">
        <v>203</v>
      </c>
      <c r="U1" s="275" t="s">
        <v>204</v>
      </c>
      <c r="V1" s="276" t="s">
        <v>205</v>
      </c>
      <c r="W1" s="238"/>
      <c r="X1" s="244"/>
      <c r="Y1" s="244" t="s">
        <v>206</v>
      </c>
      <c r="Z1" s="244" t="s">
        <v>207</v>
      </c>
      <c r="AA1" s="189" t="s">
        <v>35</v>
      </c>
    </row>
    <row r="2" spans="1:30" ht="15" customHeight="1" thickBot="1">
      <c r="B2" s="313" t="s">
        <v>15</v>
      </c>
      <c r="C2" s="314"/>
      <c r="D2" s="244"/>
      <c r="E2" s="233"/>
      <c r="F2" s="234"/>
      <c r="G2" s="45"/>
      <c r="P2" s="12" t="s">
        <v>193</v>
      </c>
      <c r="Q2" s="153">
        <v>3900</v>
      </c>
      <c r="R2" s="217" t="s">
        <v>141</v>
      </c>
      <c r="T2" s="184" t="s">
        <v>193</v>
      </c>
      <c r="U2" s="205">
        <v>3</v>
      </c>
      <c r="V2" s="236">
        <v>0</v>
      </c>
      <c r="W2" s="251"/>
      <c r="X2" s="282"/>
      <c r="Y2" s="196">
        <f>U2*Q2</f>
        <v>11700</v>
      </c>
      <c r="Z2" s="196">
        <f>V2*Q2</f>
        <v>0</v>
      </c>
      <c r="AA2" s="197">
        <f>SUM(Y2:Z2)</f>
        <v>11700</v>
      </c>
    </row>
    <row r="3" spans="1:30" ht="15" customHeight="1">
      <c r="B3" s="235"/>
      <c r="C3" s="138"/>
      <c r="D3" s="205"/>
      <c r="E3" s="258"/>
      <c r="F3" s="259"/>
      <c r="I3" s="306" t="s">
        <v>235</v>
      </c>
      <c r="J3" s="256"/>
      <c r="K3" s="307"/>
      <c r="P3" s="12" t="s">
        <v>194</v>
      </c>
      <c r="Q3" s="153">
        <v>77200</v>
      </c>
      <c r="R3" s="217"/>
      <c r="T3" s="184" t="s">
        <v>194</v>
      </c>
      <c r="U3" s="205">
        <v>1</v>
      </c>
      <c r="V3" s="236">
        <v>0</v>
      </c>
      <c r="W3" s="251"/>
      <c r="X3" s="282"/>
      <c r="Y3" s="196">
        <f>U3*Q3</f>
        <v>77200</v>
      </c>
      <c r="Z3" s="196">
        <f>V3*Q3</f>
        <v>0</v>
      </c>
      <c r="AA3" s="197">
        <f t="shared" ref="AA3:AA9" si="0">SUM(Y3:Z3)</f>
        <v>77200</v>
      </c>
    </row>
    <row r="4" spans="1:30" ht="15">
      <c r="B4" s="246" t="s">
        <v>16</v>
      </c>
      <c r="C4" s="138"/>
      <c r="D4" s="205"/>
      <c r="E4" s="258"/>
      <c r="F4" s="259"/>
      <c r="I4" s="257"/>
      <c r="J4" s="258" t="s">
        <v>223</v>
      </c>
      <c r="K4" s="259"/>
      <c r="P4" s="12" t="s">
        <v>195</v>
      </c>
      <c r="Q4" s="153">
        <v>151100</v>
      </c>
      <c r="R4" s="217"/>
      <c r="T4" s="184" t="s">
        <v>195</v>
      </c>
      <c r="U4" s="205">
        <v>12</v>
      </c>
      <c r="V4" s="236">
        <v>8</v>
      </c>
      <c r="W4" s="251"/>
      <c r="X4" s="282"/>
      <c r="Y4" s="196">
        <f t="shared" ref="Y4:Y10" si="1">U4*Q4</f>
        <v>1813200</v>
      </c>
      <c r="Z4" s="196">
        <f t="shared" ref="Z4:Z11" si="2">V4*Q4</f>
        <v>1208800</v>
      </c>
      <c r="AA4" s="197">
        <f t="shared" si="0"/>
        <v>3022000</v>
      </c>
    </row>
    <row r="5" spans="1:30" ht="15" customHeight="1">
      <c r="B5" s="315" t="s">
        <v>166</v>
      </c>
      <c r="C5" s="138"/>
      <c r="D5" s="205"/>
      <c r="E5" s="258"/>
      <c r="F5" s="259"/>
      <c r="I5" s="308" t="s">
        <v>23</v>
      </c>
      <c r="J5" s="309">
        <f>28158.69/5280</f>
        <v>5.3330852272727274</v>
      </c>
      <c r="K5" s="259"/>
      <c r="P5" s="12" t="s">
        <v>196</v>
      </c>
      <c r="Q5" s="153">
        <v>554800</v>
      </c>
      <c r="R5" s="217"/>
      <c r="T5" s="184" t="s">
        <v>196</v>
      </c>
      <c r="U5" s="205">
        <v>4</v>
      </c>
      <c r="V5" s="236">
        <v>0</v>
      </c>
      <c r="W5" s="251"/>
      <c r="X5" s="282"/>
      <c r="Y5" s="196">
        <f t="shared" si="1"/>
        <v>2219200</v>
      </c>
      <c r="Z5" s="196">
        <f t="shared" si="2"/>
        <v>0</v>
      </c>
      <c r="AA5" s="197">
        <f t="shared" si="0"/>
        <v>2219200</v>
      </c>
    </row>
    <row r="6" spans="1:30" ht="15.75" thickBot="1">
      <c r="B6" s="246" t="s">
        <v>70</v>
      </c>
      <c r="C6" s="138"/>
      <c r="D6" s="205"/>
      <c r="E6" s="258"/>
      <c r="F6" s="259"/>
      <c r="I6" s="310" t="s">
        <v>219</v>
      </c>
      <c r="J6" s="311">
        <f>7851360/5280</f>
        <v>1487</v>
      </c>
      <c r="K6" s="312"/>
      <c r="P6" s="12" t="s">
        <v>197</v>
      </c>
      <c r="Q6" s="153">
        <v>11600000</v>
      </c>
      <c r="R6" s="217"/>
      <c r="T6" s="184" t="s">
        <v>197</v>
      </c>
      <c r="U6" s="205">
        <v>2</v>
      </c>
      <c r="V6" s="236">
        <v>1</v>
      </c>
      <c r="W6" s="251"/>
      <c r="X6" s="282"/>
      <c r="Y6" s="196">
        <f t="shared" si="1"/>
        <v>23200000</v>
      </c>
      <c r="Z6" s="196">
        <f t="shared" si="2"/>
        <v>11600000</v>
      </c>
      <c r="AA6" s="197">
        <f t="shared" si="0"/>
        <v>34800000</v>
      </c>
    </row>
    <row r="7" spans="1:30" ht="15.75" thickBot="1">
      <c r="B7" s="316" t="s">
        <v>17</v>
      </c>
      <c r="C7" s="317"/>
      <c r="D7" s="237"/>
      <c r="E7" s="267"/>
      <c r="F7" s="318"/>
      <c r="K7" s="18"/>
      <c r="P7" s="12" t="s">
        <v>198</v>
      </c>
      <c r="Q7" s="153">
        <v>210300</v>
      </c>
      <c r="R7" s="217"/>
      <c r="S7" s="20"/>
      <c r="T7" s="184" t="s">
        <v>198</v>
      </c>
      <c r="U7" s="277">
        <v>0</v>
      </c>
      <c r="V7" s="236">
        <v>0</v>
      </c>
      <c r="W7" s="251"/>
      <c r="X7" s="282"/>
      <c r="Y7" s="196">
        <f t="shared" si="1"/>
        <v>0</v>
      </c>
      <c r="Z7" s="196">
        <f t="shared" si="2"/>
        <v>0</v>
      </c>
      <c r="AA7" s="197">
        <f t="shared" si="0"/>
        <v>0</v>
      </c>
    </row>
    <row r="8" spans="1:30" ht="15.75" thickBot="1">
      <c r="K8" s="18"/>
      <c r="P8" s="180" t="s">
        <v>199</v>
      </c>
      <c r="Q8" s="181">
        <v>159800</v>
      </c>
      <c r="R8" s="217"/>
      <c r="S8" s="21"/>
      <c r="T8" s="184" t="s">
        <v>199</v>
      </c>
      <c r="U8" s="278">
        <v>0</v>
      </c>
      <c r="V8" s="236">
        <v>2</v>
      </c>
      <c r="W8" s="251"/>
      <c r="X8" s="282"/>
      <c r="Y8" s="196">
        <f t="shared" si="1"/>
        <v>0</v>
      </c>
      <c r="Z8" s="196">
        <f t="shared" si="2"/>
        <v>319600</v>
      </c>
      <c r="AA8" s="197">
        <f t="shared" si="0"/>
        <v>319600</v>
      </c>
    </row>
    <row r="9" spans="1:30" ht="15">
      <c r="A9" s="238"/>
      <c r="B9" s="319"/>
      <c r="C9" s="320" t="s">
        <v>19</v>
      </c>
      <c r="D9" s="321"/>
      <c r="K9" s="18"/>
      <c r="P9" s="182" t="s">
        <v>200</v>
      </c>
      <c r="Q9" s="183">
        <v>302600</v>
      </c>
      <c r="R9" s="218"/>
      <c r="S9" s="23"/>
      <c r="T9" s="279" t="s">
        <v>200</v>
      </c>
      <c r="U9" s="188">
        <f>SUM(U2:U8)-U6-U2</f>
        <v>17</v>
      </c>
      <c r="V9" s="189">
        <f>SUM(V2:V8)-V6-V2</f>
        <v>10</v>
      </c>
      <c r="W9" s="251"/>
      <c r="X9" s="282"/>
      <c r="Y9" s="192">
        <f t="shared" si="1"/>
        <v>5144200</v>
      </c>
      <c r="Z9" s="193">
        <f t="shared" si="2"/>
        <v>3026000</v>
      </c>
      <c r="AA9" s="194">
        <f t="shared" si="0"/>
        <v>8170200</v>
      </c>
    </row>
    <row r="10" spans="1:30" s="22" customFormat="1" ht="15">
      <c r="A10" s="235"/>
      <c r="B10" s="322" t="s">
        <v>9</v>
      </c>
      <c r="C10" s="323" t="s">
        <v>20</v>
      </c>
      <c r="D10" s="191" t="s">
        <v>21</v>
      </c>
      <c r="J10" s="16"/>
      <c r="K10" s="18"/>
      <c r="L10" s="8"/>
      <c r="M10" s="8"/>
      <c r="N10" s="8"/>
      <c r="O10" s="8"/>
      <c r="P10" s="184" t="s">
        <v>201</v>
      </c>
      <c r="Q10" s="185">
        <v>12837400</v>
      </c>
      <c r="R10" s="218"/>
      <c r="S10" s="19"/>
      <c r="T10" s="279" t="s">
        <v>201</v>
      </c>
      <c r="U10" s="190">
        <f>U6</f>
        <v>2</v>
      </c>
      <c r="V10" s="191">
        <f>V6</f>
        <v>1</v>
      </c>
      <c r="W10" s="251"/>
      <c r="X10" s="282"/>
      <c r="Y10" s="195">
        <f t="shared" si="1"/>
        <v>25674800</v>
      </c>
      <c r="Z10" s="196">
        <f t="shared" si="2"/>
        <v>12837400</v>
      </c>
      <c r="AA10" s="197">
        <f>SUM(Y10:Z10)</f>
        <v>38512200</v>
      </c>
    </row>
    <row r="11" spans="1:30" ht="15.75" thickBot="1">
      <c r="A11" s="324"/>
      <c r="B11" s="205">
        <v>2017</v>
      </c>
      <c r="C11" s="325">
        <v>1.05</v>
      </c>
      <c r="D11" s="326"/>
      <c r="J11" s="24"/>
      <c r="K11" s="18"/>
      <c r="P11" s="186" t="s">
        <v>202</v>
      </c>
      <c r="Q11" s="187">
        <v>4600</v>
      </c>
      <c r="R11" s="218"/>
      <c r="T11" s="280" t="s">
        <v>202</v>
      </c>
      <c r="U11" s="177">
        <f>U2</f>
        <v>3</v>
      </c>
      <c r="V11" s="178">
        <v>0</v>
      </c>
      <c r="W11" s="253"/>
      <c r="X11" s="283"/>
      <c r="Y11" s="199">
        <f>U11*Q11</f>
        <v>13800</v>
      </c>
      <c r="Z11" s="200">
        <f t="shared" si="2"/>
        <v>0</v>
      </c>
      <c r="AA11" s="198">
        <f>SUM(Y11:Z11)</f>
        <v>13800</v>
      </c>
    </row>
    <row r="12" spans="1:30" ht="15" thickBot="1">
      <c r="A12" s="235"/>
      <c r="B12" s="205">
        <v>2018</v>
      </c>
      <c r="C12" s="325">
        <v>1.03</v>
      </c>
      <c r="D12" s="326"/>
      <c r="F12" s="25"/>
      <c r="G12" s="332"/>
      <c r="H12" s="333"/>
      <c r="I12" s="333"/>
      <c r="J12" s="233"/>
      <c r="K12" s="256" t="s">
        <v>177</v>
      </c>
      <c r="L12" s="256"/>
      <c r="M12" s="307"/>
      <c r="P12" s="26"/>
      <c r="Q12" s="14"/>
      <c r="R12" s="14"/>
      <c r="S12" s="14"/>
      <c r="T12" s="14"/>
      <c r="U12" s="14">
        <f>SUM(U2:V8)</f>
        <v>33</v>
      </c>
      <c r="V12" s="14">
        <f>SUM(U9:V11)</f>
        <v>33</v>
      </c>
      <c r="W12" s="14"/>
      <c r="X12" s="14"/>
      <c r="Y12" s="14"/>
      <c r="Z12" s="281"/>
      <c r="AA12" s="197">
        <f>(AA10+AA9+AA11)/2</f>
        <v>23348100</v>
      </c>
    </row>
    <row r="13" spans="1:30">
      <c r="A13" s="235"/>
      <c r="B13" s="205">
        <v>2019</v>
      </c>
      <c r="C13" s="325">
        <v>1.01</v>
      </c>
      <c r="D13" s="326"/>
      <c r="G13" s="334"/>
      <c r="H13" s="335" t="s">
        <v>160</v>
      </c>
      <c r="I13" s="335"/>
      <c r="J13" s="335"/>
      <c r="K13" s="336" t="s">
        <v>176</v>
      </c>
      <c r="L13" s="282" t="s">
        <v>170</v>
      </c>
      <c r="M13" s="337" t="s">
        <v>171</v>
      </c>
      <c r="N13" s="27"/>
      <c r="O13" s="350" t="s">
        <v>41</v>
      </c>
      <c r="P13" s="347" t="s">
        <v>149</v>
      </c>
      <c r="Q13" s="289" t="s">
        <v>150</v>
      </c>
      <c r="R13" s="290"/>
      <c r="S13" s="290"/>
      <c r="T13" s="290"/>
      <c r="U13" s="290"/>
      <c r="V13" s="291"/>
      <c r="W13" s="26"/>
      <c r="X13" s="26"/>
      <c r="Y13" s="26"/>
      <c r="Z13" s="270" t="s">
        <v>208</v>
      </c>
      <c r="AA13" s="271">
        <f>AA12+AA9+AA11+AA10</f>
        <v>70044300</v>
      </c>
      <c r="AB13" s="16"/>
      <c r="AC13" s="16"/>
      <c r="AD13" s="16"/>
    </row>
    <row r="14" spans="1:30" ht="15" thickBot="1">
      <c r="A14" s="235"/>
      <c r="B14" s="205">
        <v>2020</v>
      </c>
      <c r="C14" s="325">
        <v>1</v>
      </c>
      <c r="D14" s="326">
        <v>1</v>
      </c>
      <c r="F14" s="10"/>
      <c r="G14" s="308"/>
      <c r="H14" s="338" t="s">
        <v>22</v>
      </c>
      <c r="I14" s="338" t="s">
        <v>23</v>
      </c>
      <c r="J14" s="338" t="s">
        <v>174</v>
      </c>
      <c r="K14" s="336"/>
      <c r="L14" s="282"/>
      <c r="M14" s="337"/>
      <c r="N14" s="205"/>
      <c r="O14" s="351"/>
      <c r="P14" s="348"/>
      <c r="Q14" s="292"/>
      <c r="R14" s="293"/>
      <c r="S14" s="278"/>
      <c r="T14" s="278"/>
      <c r="U14" s="278"/>
      <c r="V14" s="294"/>
      <c r="W14" s="26"/>
      <c r="X14" s="26"/>
      <c r="Y14" s="26"/>
      <c r="Z14" s="272" t="s">
        <v>209</v>
      </c>
      <c r="AA14" s="273">
        <f>AA13/30</f>
        <v>2334810</v>
      </c>
      <c r="AB14" s="16"/>
      <c r="AC14" s="16"/>
      <c r="AD14" s="16"/>
    </row>
    <row r="15" spans="1:30" ht="15" customHeight="1" thickBot="1">
      <c r="A15" s="327" t="s">
        <v>9</v>
      </c>
      <c r="B15" s="205">
        <v>2021</v>
      </c>
      <c r="C15" s="13">
        <f>C14*C14/C13</f>
        <v>0.99009900990099009</v>
      </c>
      <c r="D15" s="326">
        <v>1</v>
      </c>
      <c r="F15" s="11"/>
      <c r="G15" s="308">
        <v>11</v>
      </c>
      <c r="H15" s="339">
        <f>Q24+(V24*G15)</f>
        <v>97803.333333333328</v>
      </c>
      <c r="I15" s="339">
        <f>Q24+(V24*11)</f>
        <v>97803.333333333328</v>
      </c>
      <c r="J15" s="339">
        <f>I15-H15</f>
        <v>0</v>
      </c>
      <c r="K15" s="340">
        <v>0</v>
      </c>
      <c r="L15" s="340">
        <v>0</v>
      </c>
      <c r="M15" s="341">
        <v>0</v>
      </c>
      <c r="O15" s="352">
        <v>0</v>
      </c>
      <c r="P15" s="278"/>
      <c r="Q15" s="278"/>
      <c r="R15" s="278"/>
      <c r="S15" s="278"/>
      <c r="T15" s="278"/>
      <c r="U15" s="278"/>
      <c r="V15" s="294"/>
      <c r="W15" s="26"/>
      <c r="X15" s="26"/>
      <c r="Y15" s="26"/>
      <c r="Z15" s="26"/>
      <c r="AA15" s="16"/>
      <c r="AB15" s="16"/>
      <c r="AC15" s="16"/>
    </row>
    <row r="16" spans="1:30" s="24" customFormat="1" ht="15" customHeight="1" thickBot="1">
      <c r="A16" s="235">
        <v>0</v>
      </c>
      <c r="B16" s="205">
        <v>2022</v>
      </c>
      <c r="C16" s="13">
        <f t="shared" ref="C16:C39" si="3">C15*C15/C14</f>
        <v>0.98029604940692083</v>
      </c>
      <c r="D16" s="326">
        <v>1</v>
      </c>
      <c r="E16" s="11"/>
      <c r="F16" s="11"/>
      <c r="G16" s="308">
        <v>12</v>
      </c>
      <c r="H16" s="339">
        <f>Q24+(V24*G16)</f>
        <v>104940</v>
      </c>
      <c r="I16" s="339">
        <f>Q24+(V24*12)</f>
        <v>104940</v>
      </c>
      <c r="J16" s="339">
        <f t="shared" ref="J16:J46" si="4">I16-H16</f>
        <v>0</v>
      </c>
      <c r="K16" s="340">
        <v>0</v>
      </c>
      <c r="L16" s="340">
        <v>0</v>
      </c>
      <c r="M16" s="341">
        <v>0</v>
      </c>
      <c r="O16" s="352">
        <v>0</v>
      </c>
      <c r="P16" s="278"/>
      <c r="Q16" s="295" t="s">
        <v>152</v>
      </c>
      <c r="R16" s="295"/>
      <c r="S16" s="295" t="s">
        <v>154</v>
      </c>
      <c r="T16" s="295"/>
      <c r="U16" s="296" t="s">
        <v>156</v>
      </c>
      <c r="V16" s="297" t="s">
        <v>153</v>
      </c>
      <c r="W16" s="284"/>
      <c r="X16" s="285"/>
      <c r="Y16" s="285"/>
      <c r="Z16" s="26"/>
      <c r="AA16" s="269">
        <v>2334810</v>
      </c>
      <c r="AB16" s="16"/>
      <c r="AC16" s="16"/>
    </row>
    <row r="17" spans="1:30" ht="15" customHeight="1">
      <c r="A17" s="328">
        <v>1</v>
      </c>
      <c r="B17" s="205">
        <v>2023</v>
      </c>
      <c r="C17" s="13">
        <f t="shared" si="3"/>
        <v>0.97059014792764442</v>
      </c>
      <c r="D17" s="326">
        <f t="shared" ref="D17:D22" si="5">MIN(1.07^-(B17-B$16),1)</f>
        <v>0.93457943925233644</v>
      </c>
      <c r="E17" s="11"/>
      <c r="F17" s="11"/>
      <c r="G17" s="308">
        <v>13</v>
      </c>
      <c r="H17" s="339">
        <f>Q24+(V24*G17)</f>
        <v>112076.66666666666</v>
      </c>
      <c r="I17" s="339">
        <f>Q24+(V24*13)</f>
        <v>112076.66666666666</v>
      </c>
      <c r="J17" s="339">
        <f t="shared" si="4"/>
        <v>0</v>
      </c>
      <c r="K17" s="340">
        <v>0</v>
      </c>
      <c r="L17" s="340">
        <v>0</v>
      </c>
      <c r="M17" s="341">
        <v>0</v>
      </c>
      <c r="N17" s="24"/>
      <c r="O17" s="352">
        <v>0</v>
      </c>
      <c r="P17" s="349" t="s">
        <v>25</v>
      </c>
      <c r="Q17" s="278" t="s">
        <v>159</v>
      </c>
      <c r="R17" s="278" t="s">
        <v>155</v>
      </c>
      <c r="S17" s="278" t="s">
        <v>156</v>
      </c>
      <c r="T17" s="278" t="s">
        <v>155</v>
      </c>
      <c r="U17" s="296" t="s">
        <v>24</v>
      </c>
      <c r="V17" s="297"/>
      <c r="W17" s="284"/>
      <c r="X17" s="14"/>
      <c r="Y17" s="26"/>
      <c r="Z17" s="26"/>
      <c r="AA17" s="16"/>
      <c r="AB17" s="16"/>
      <c r="AC17" s="16"/>
    </row>
    <row r="18" spans="1:30" ht="15" customHeight="1">
      <c r="A18" s="235">
        <v>2</v>
      </c>
      <c r="B18" s="205">
        <v>2024</v>
      </c>
      <c r="C18" s="13">
        <f t="shared" si="3"/>
        <v>0.96098034448281633</v>
      </c>
      <c r="D18" s="326">
        <f t="shared" si="5"/>
        <v>0.87343872827321156</v>
      </c>
      <c r="E18" s="11"/>
      <c r="F18" s="11"/>
      <c r="G18" s="308">
        <v>14</v>
      </c>
      <c r="H18" s="339">
        <f>Q24+(V24*G18)</f>
        <v>119213.33333333333</v>
      </c>
      <c r="I18" s="339">
        <v>119213.33333333333</v>
      </c>
      <c r="J18" s="339">
        <f t="shared" si="4"/>
        <v>0</v>
      </c>
      <c r="K18" s="340">
        <v>0</v>
      </c>
      <c r="L18" s="340">
        <v>0</v>
      </c>
      <c r="M18" s="341">
        <v>0</v>
      </c>
      <c r="N18" s="29"/>
      <c r="O18" s="352">
        <v>0</v>
      </c>
      <c r="P18" s="349" t="s">
        <v>151</v>
      </c>
      <c r="Q18" s="298">
        <v>9800</v>
      </c>
      <c r="R18" s="298">
        <v>29600</v>
      </c>
      <c r="S18" s="298">
        <v>222000</v>
      </c>
      <c r="T18" s="298">
        <v>29600</v>
      </c>
      <c r="U18" s="299">
        <f>S18-Q18</f>
        <v>212200</v>
      </c>
      <c r="V18" s="300">
        <f>U18/30</f>
        <v>7073.333333333333</v>
      </c>
      <c r="W18" s="286"/>
      <c r="X18" s="287"/>
      <c r="Y18" s="287"/>
      <c r="Z18" s="26"/>
      <c r="AA18" s="16"/>
      <c r="AB18" s="16"/>
      <c r="AC18" s="16"/>
    </row>
    <row r="19" spans="1:30" ht="15" customHeight="1">
      <c r="A19" s="328">
        <v>3</v>
      </c>
      <c r="B19" s="205">
        <v>2025</v>
      </c>
      <c r="C19" s="13">
        <f t="shared" si="3"/>
        <v>0.95146568760674888</v>
      </c>
      <c r="D19" s="326">
        <f t="shared" si="5"/>
        <v>0.81629787689085187</v>
      </c>
      <c r="E19" s="11"/>
      <c r="F19" s="11"/>
      <c r="G19" s="308">
        <v>15</v>
      </c>
      <c r="H19" s="339">
        <f>Q24+(V24*G19)</f>
        <v>126349.99999999999</v>
      </c>
      <c r="I19" s="339">
        <v>126350</v>
      </c>
      <c r="J19" s="339">
        <f t="shared" si="4"/>
        <v>0</v>
      </c>
      <c r="K19" s="340">
        <v>0</v>
      </c>
      <c r="L19" s="340">
        <v>0</v>
      </c>
      <c r="M19" s="341">
        <v>0</v>
      </c>
      <c r="O19" s="352">
        <v>0</v>
      </c>
      <c r="P19" s="349" t="s">
        <v>157</v>
      </c>
      <c r="Q19" s="298">
        <v>7800</v>
      </c>
      <c r="R19" s="298">
        <v>35100</v>
      </c>
      <c r="S19" s="298">
        <v>9400</v>
      </c>
      <c r="T19" s="298">
        <v>35100</v>
      </c>
      <c r="U19" s="299">
        <f>S19-Q19</f>
        <v>1600</v>
      </c>
      <c r="V19" s="300">
        <f>U19/30</f>
        <v>53.333333333333336</v>
      </c>
      <c r="W19" s="286"/>
      <c r="X19" s="287"/>
      <c r="Y19" s="287"/>
      <c r="Z19" s="26"/>
      <c r="AA19" s="16"/>
      <c r="AB19" s="16"/>
      <c r="AC19" s="16"/>
    </row>
    <row r="20" spans="1:30" ht="15" customHeight="1">
      <c r="A20" s="235">
        <v>4</v>
      </c>
      <c r="B20" s="205">
        <v>2026</v>
      </c>
      <c r="C20" s="13">
        <f t="shared" si="3"/>
        <v>0.94204523525420691</v>
      </c>
      <c r="D20" s="326">
        <f t="shared" si="5"/>
        <v>0.7628952120475252</v>
      </c>
      <c r="E20" s="11"/>
      <c r="F20" s="11"/>
      <c r="G20" s="308">
        <v>16</v>
      </c>
      <c r="H20" s="339">
        <f>Q24+(V24*G20)</f>
        <v>133486.66666666666</v>
      </c>
      <c r="I20" s="339">
        <v>133486.66666666666</v>
      </c>
      <c r="J20" s="339">
        <f t="shared" si="4"/>
        <v>0</v>
      </c>
      <c r="K20" s="340">
        <v>0</v>
      </c>
      <c r="L20" s="340">
        <v>0</v>
      </c>
      <c r="M20" s="341">
        <v>0</v>
      </c>
      <c r="O20" s="352">
        <v>0</v>
      </c>
      <c r="P20" s="349" t="s">
        <v>158</v>
      </c>
      <c r="Q20" s="298">
        <v>1700</v>
      </c>
      <c r="R20" s="298">
        <v>13800</v>
      </c>
      <c r="S20" s="298">
        <v>2000</v>
      </c>
      <c r="T20" s="298">
        <v>15800</v>
      </c>
      <c r="U20" s="299">
        <f>S20-Q20</f>
        <v>300</v>
      </c>
      <c r="V20" s="300">
        <f>U20/30</f>
        <v>10</v>
      </c>
      <c r="W20" s="286"/>
      <c r="X20" s="287"/>
      <c r="Y20" s="287"/>
      <c r="Z20" s="26"/>
      <c r="AA20" s="16"/>
      <c r="AB20" s="16"/>
      <c r="AC20" s="16"/>
    </row>
    <row r="21" spans="1:30" ht="15" customHeight="1">
      <c r="A21" s="328">
        <v>5</v>
      </c>
      <c r="B21" s="329">
        <v>2027</v>
      </c>
      <c r="C21" s="13">
        <f>C20*C20/C19</f>
        <v>0.93271805470713565</v>
      </c>
      <c r="D21" s="326">
        <f t="shared" si="5"/>
        <v>0.71298617948366838</v>
      </c>
      <c r="E21" s="11"/>
      <c r="F21" s="11"/>
      <c r="G21" s="308">
        <v>17</v>
      </c>
      <c r="H21" s="339">
        <f>Q24+(V24*G21)</f>
        <v>140623.33333333331</v>
      </c>
      <c r="I21" s="339">
        <f>(Q24+(V24*G21)) - (K21*Y30)</f>
        <v>139519.89691966923</v>
      </c>
      <c r="J21" s="339">
        <f>I21-H21</f>
        <v>-1103.4364136640797</v>
      </c>
      <c r="K21" s="340">
        <f>S32+S33</f>
        <v>594</v>
      </c>
      <c r="L21" s="340">
        <f>S32</f>
        <v>129</v>
      </c>
      <c r="M21" s="341">
        <f>S33</f>
        <v>465</v>
      </c>
      <c r="N21" s="179" t="s">
        <v>26</v>
      </c>
      <c r="O21" s="353">
        <f>K21*AA33</f>
        <v>3127.37093362211</v>
      </c>
      <c r="P21" s="349"/>
      <c r="Q21" s="298"/>
      <c r="R21" s="298"/>
      <c r="S21" s="298"/>
      <c r="T21" s="298"/>
      <c r="U21" s="301"/>
      <c r="V21" s="302"/>
      <c r="W21" s="286"/>
      <c r="X21" s="287"/>
      <c r="Y21" s="287"/>
      <c r="Z21" s="26"/>
      <c r="AA21" s="16"/>
      <c r="AB21" s="16"/>
      <c r="AC21" s="16"/>
    </row>
    <row r="22" spans="1:30" ht="15" customHeight="1">
      <c r="A22" s="235">
        <v>6</v>
      </c>
      <c r="B22" s="205">
        <v>2028</v>
      </c>
      <c r="C22" s="13">
        <f t="shared" si="3"/>
        <v>0.92348322248231263</v>
      </c>
      <c r="D22" s="326">
        <f t="shared" si="5"/>
        <v>0.66634222381651254</v>
      </c>
      <c r="E22" s="11"/>
      <c r="F22" s="11"/>
      <c r="G22" s="308">
        <v>18</v>
      </c>
      <c r="H22" s="339">
        <f>Q24+(V24*G22)</f>
        <v>147760</v>
      </c>
      <c r="I22" s="339">
        <f>(Q24+(V24*G22)) - (K22*Y30)</f>
        <v>146543.04810743761</v>
      </c>
      <c r="J22" s="339">
        <f>I22-H22</f>
        <v>-1216.9518925623852</v>
      </c>
      <c r="K22" s="340">
        <f>K21+Q37</f>
        <v>655.10745814677011</v>
      </c>
      <c r="L22" s="340">
        <f>L21+Q38</f>
        <v>142.2708116177329</v>
      </c>
      <c r="M22" s="341">
        <f>M21+Q39</f>
        <v>512.83664652903724</v>
      </c>
      <c r="N22" s="10"/>
      <c r="O22" s="353">
        <f>K22*AA33</f>
        <v>3449.0976818304239</v>
      </c>
      <c r="P22" s="349"/>
      <c r="Q22" s="298"/>
      <c r="R22" s="298"/>
      <c r="S22" s="298"/>
      <c r="T22" s="298"/>
      <c r="U22" s="301"/>
      <c r="V22" s="302"/>
      <c r="W22" s="286"/>
      <c r="X22" s="287"/>
      <c r="Y22" s="287"/>
      <c r="Z22" s="26"/>
      <c r="AA22" s="16"/>
      <c r="AB22" s="16"/>
      <c r="AC22" s="16"/>
    </row>
    <row r="23" spans="1:30" ht="15" customHeight="1">
      <c r="A23" s="328">
        <v>7</v>
      </c>
      <c r="B23" s="205">
        <v>2029</v>
      </c>
      <c r="C23" s="13">
        <f t="shared" si="3"/>
        <v>0.91433982423991356</v>
      </c>
      <c r="D23" s="326">
        <f t="shared" ref="D23:D39" si="6">MIN(1.07^-(B23-B$16),1)</f>
        <v>0.62274974188459109</v>
      </c>
      <c r="E23" s="11"/>
      <c r="F23" s="11"/>
      <c r="G23" s="308">
        <v>19</v>
      </c>
      <c r="H23" s="339">
        <f>Q24+(V24*G23)</f>
        <v>154896.66666666666</v>
      </c>
      <c r="I23" s="339">
        <f>(Q24+(V24*G23)) - (K23*Y30)</f>
        <v>153566.19929520594</v>
      </c>
      <c r="J23" s="339">
        <f t="shared" si="4"/>
        <v>-1330.4673714607197</v>
      </c>
      <c r="K23" s="340">
        <f>K22+Q37</f>
        <v>716.21491629354023</v>
      </c>
      <c r="L23" s="340">
        <f>L22+Q38</f>
        <v>155.54162323546581</v>
      </c>
      <c r="M23" s="341">
        <f>M22+Q39</f>
        <v>560.67329305807448</v>
      </c>
      <c r="N23" s="10"/>
      <c r="O23" s="353">
        <f>K23*AA33</f>
        <v>3770.8244300387378</v>
      </c>
      <c r="P23" s="278"/>
      <c r="Q23" s="278"/>
      <c r="R23" s="278"/>
      <c r="S23" s="278"/>
      <c r="T23" s="278"/>
      <c r="U23" s="278"/>
      <c r="V23" s="294"/>
      <c r="W23" s="26"/>
      <c r="X23" s="288"/>
      <c r="Y23" s="288"/>
      <c r="Z23" s="26"/>
      <c r="AA23" s="16"/>
      <c r="AB23" s="16"/>
      <c r="AC23" s="16"/>
    </row>
    <row r="24" spans="1:30" ht="15" customHeight="1" thickBot="1">
      <c r="A24" s="235">
        <v>8</v>
      </c>
      <c r="B24" s="205">
        <v>2030</v>
      </c>
      <c r="C24" s="13">
        <f t="shared" si="3"/>
        <v>0.90528695469298381</v>
      </c>
      <c r="D24" s="326">
        <f t="shared" si="6"/>
        <v>0.5820091045650384</v>
      </c>
      <c r="E24" s="11"/>
      <c r="F24" s="11"/>
      <c r="G24" s="308">
        <v>20</v>
      </c>
      <c r="H24" s="339">
        <f>Q24+(V24*G24)</f>
        <v>162033.33333333331</v>
      </c>
      <c r="I24" s="339">
        <f>(Q24+(V24*G24)) - (K24*Y30)</f>
        <v>160589.35048297429</v>
      </c>
      <c r="J24" s="339">
        <f t="shared" si="4"/>
        <v>-1443.9828503590252</v>
      </c>
      <c r="K24" s="340">
        <f>K23+Q37</f>
        <v>777.32237444031034</v>
      </c>
      <c r="L24" s="340">
        <f>L23+Q38</f>
        <v>168.81243485319871</v>
      </c>
      <c r="M24" s="341">
        <f>M23+Q39</f>
        <v>608.50993958711172</v>
      </c>
      <c r="N24" s="10"/>
      <c r="O24" s="353">
        <f>K24*AA33</f>
        <v>4092.5511782470517</v>
      </c>
      <c r="P24" s="304" t="s">
        <v>27</v>
      </c>
      <c r="Q24" s="303">
        <f>SUM(Q18:Q20)</f>
        <v>19300</v>
      </c>
      <c r="R24" s="304"/>
      <c r="S24" s="303">
        <f>SUM(S18:S20)</f>
        <v>233400</v>
      </c>
      <c r="T24" s="304"/>
      <c r="U24" s="304" t="s">
        <v>27</v>
      </c>
      <c r="V24" s="305">
        <f>SUM(V18:V20)</f>
        <v>7136.6666666666661</v>
      </c>
      <c r="W24" s="26"/>
      <c r="X24" s="288"/>
      <c r="Y24" s="288"/>
      <c r="Z24" s="26"/>
      <c r="AA24" s="16"/>
      <c r="AB24" s="16"/>
      <c r="AC24" s="16"/>
    </row>
    <row r="25" spans="1:30" ht="15" customHeight="1">
      <c r="A25" s="328">
        <v>9</v>
      </c>
      <c r="B25" s="205">
        <v>2031</v>
      </c>
      <c r="C25" s="13">
        <f t="shared" si="3"/>
        <v>0.89632371751780582</v>
      </c>
      <c r="D25" s="326">
        <f t="shared" si="6"/>
        <v>0.54393374258414806</v>
      </c>
      <c r="E25" s="11"/>
      <c r="F25" s="11"/>
      <c r="G25" s="308">
        <v>21</v>
      </c>
      <c r="H25" s="339">
        <f>Q24+(V24*G25)</f>
        <v>169170</v>
      </c>
      <c r="I25" s="339">
        <f>(Q24+(V24*G25)) - (K25*Y30)</f>
        <v>167612.50167074267</v>
      </c>
      <c r="J25" s="339">
        <f t="shared" si="4"/>
        <v>-1557.4983292573306</v>
      </c>
      <c r="K25" s="340">
        <f>K24+Q37</f>
        <v>838.42983258708045</v>
      </c>
      <c r="L25" s="340">
        <f>L24+Q38</f>
        <v>182.08324647093161</v>
      </c>
      <c r="M25" s="341">
        <f>M24+Q39</f>
        <v>656.34658611614896</v>
      </c>
      <c r="N25" s="10"/>
      <c r="O25" s="353">
        <f>K25*AA33</f>
        <v>4414.2779264553656</v>
      </c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16"/>
      <c r="AB25" s="16"/>
      <c r="AC25" s="16"/>
    </row>
    <row r="26" spans="1:30" ht="15" customHeight="1">
      <c r="A26" s="235">
        <v>10</v>
      </c>
      <c r="B26" s="205">
        <v>2032</v>
      </c>
      <c r="C26" s="13">
        <f t="shared" si="3"/>
        <v>0.88744922526515435</v>
      </c>
      <c r="D26" s="326">
        <f t="shared" si="6"/>
        <v>0.5083492921347178</v>
      </c>
      <c r="E26" s="11"/>
      <c r="F26" s="11"/>
      <c r="G26" s="308">
        <v>22</v>
      </c>
      <c r="H26" s="339">
        <f>Q24+(V24*G26)</f>
        <v>176306.66666666666</v>
      </c>
      <c r="I26" s="339">
        <f>(Q24+(V24*G26)) - (K26*Y30)</f>
        <v>174635.65285851099</v>
      </c>
      <c r="J26" s="339">
        <f t="shared" si="4"/>
        <v>-1671.0138081556652</v>
      </c>
      <c r="K26" s="340">
        <f>K25+Q37</f>
        <v>899.53729073385057</v>
      </c>
      <c r="L26" s="340">
        <f>L25+Q38</f>
        <v>195.35405808866452</v>
      </c>
      <c r="M26" s="341">
        <f>M25+Q39</f>
        <v>704.18323264518619</v>
      </c>
      <c r="N26" s="10"/>
      <c r="O26" s="353">
        <f>K26*AA33</f>
        <v>4736.0046746636799</v>
      </c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26"/>
      <c r="AA26" s="16"/>
      <c r="AB26" s="16"/>
      <c r="AC26" s="16"/>
      <c r="AD26" s="16"/>
    </row>
    <row r="27" spans="1:30" ht="15" customHeight="1" thickBot="1">
      <c r="A27" s="328">
        <v>11</v>
      </c>
      <c r="B27" s="205">
        <v>2033</v>
      </c>
      <c r="C27" s="13">
        <f t="shared" si="3"/>
        <v>0.87866259927243018</v>
      </c>
      <c r="D27" s="326">
        <f t="shared" si="6"/>
        <v>0.47509279638758667</v>
      </c>
      <c r="E27" s="11"/>
      <c r="F27" s="11"/>
      <c r="G27" s="308">
        <v>23</v>
      </c>
      <c r="H27" s="339">
        <f>Q24+(V24*G27)</f>
        <v>183443.33333333331</v>
      </c>
      <c r="I27" s="339">
        <f>(Q24+(V24*G27)) - (K27*Y30)</f>
        <v>181658.80404627934</v>
      </c>
      <c r="J27" s="339">
        <f t="shared" si="4"/>
        <v>-1784.5292870539706</v>
      </c>
      <c r="K27" s="340">
        <f>K26+Q37</f>
        <v>960.64474888062068</v>
      </c>
      <c r="L27" s="340">
        <f>L26+Q38</f>
        <v>208.62486970639742</v>
      </c>
      <c r="M27" s="341">
        <f>M26+Q39</f>
        <v>752.01987917422343</v>
      </c>
      <c r="N27" s="10"/>
      <c r="O27" s="353">
        <f>K27*AA33</f>
        <v>5057.7314228719933</v>
      </c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26"/>
      <c r="AA27" s="16"/>
      <c r="AB27" s="16"/>
      <c r="AC27" s="16"/>
      <c r="AD27" s="16"/>
    </row>
    <row r="28" spans="1:30" ht="15" customHeight="1" thickBot="1">
      <c r="A28" s="235">
        <v>12</v>
      </c>
      <c r="B28" s="205">
        <v>2034</v>
      </c>
      <c r="C28" s="13">
        <f t="shared" si="3"/>
        <v>0.86996296957666364</v>
      </c>
      <c r="D28" s="326">
        <f t="shared" si="6"/>
        <v>0.44401195924073528</v>
      </c>
      <c r="E28" s="11"/>
      <c r="F28" s="11"/>
      <c r="G28" s="308">
        <v>24</v>
      </c>
      <c r="H28" s="339">
        <f>Q24+(V24*G28)</f>
        <v>190580</v>
      </c>
      <c r="I28" s="339">
        <f>(Q24+(V24*G28)) - (K28*Y30)</f>
        <v>188681.95523404772</v>
      </c>
      <c r="J28" s="339">
        <f t="shared" si="4"/>
        <v>-1898.0447659522761</v>
      </c>
      <c r="K28" s="340">
        <f>K27+Q37</f>
        <v>1021.7522070273908</v>
      </c>
      <c r="L28" s="340">
        <f>L27+Q38</f>
        <v>221.89568132413032</v>
      </c>
      <c r="M28" s="341">
        <f>M27+Q39</f>
        <v>799.85652570326067</v>
      </c>
      <c r="N28" s="10"/>
      <c r="O28" s="353">
        <f>K28*AA33</f>
        <v>5379.4581710803077</v>
      </c>
      <c r="P28" s="16"/>
      <c r="Q28" s="16"/>
      <c r="R28" s="16"/>
      <c r="S28" s="16"/>
      <c r="T28" s="16"/>
      <c r="U28" s="255" t="s">
        <v>161</v>
      </c>
      <c r="V28" s="256"/>
      <c r="W28" s="256"/>
      <c r="X28" s="256"/>
      <c r="Y28" s="233"/>
      <c r="Z28" s="233"/>
      <c r="AA28" s="234"/>
      <c r="AB28" s="16"/>
      <c r="AC28" s="16"/>
      <c r="AD28" s="16"/>
    </row>
    <row r="29" spans="1:30" ht="15" customHeight="1">
      <c r="A29" s="328">
        <v>13</v>
      </c>
      <c r="B29" s="205">
        <v>2035</v>
      </c>
      <c r="C29" s="13">
        <f t="shared" si="3"/>
        <v>0.86134947482837987</v>
      </c>
      <c r="D29" s="326">
        <f t="shared" si="6"/>
        <v>0.41496444788853759</v>
      </c>
      <c r="E29" s="11"/>
      <c r="F29" s="11"/>
      <c r="G29" s="308">
        <v>25</v>
      </c>
      <c r="H29" s="339">
        <f>Q24+(V24*G29)</f>
        <v>197716.66666666666</v>
      </c>
      <c r="I29" s="339">
        <f>(Q24+(V24*G29)) - (K29*Y30)</f>
        <v>195705.10642181605</v>
      </c>
      <c r="J29" s="339">
        <f t="shared" si="4"/>
        <v>-2011.5602448506106</v>
      </c>
      <c r="K29" s="340">
        <f>K28+Q37</f>
        <v>1082.8596651741609</v>
      </c>
      <c r="L29" s="340">
        <f>L28+Q38</f>
        <v>235.16649294186323</v>
      </c>
      <c r="M29" s="341">
        <f>M28+Q39</f>
        <v>847.69317223229791</v>
      </c>
      <c r="N29" s="10"/>
      <c r="O29" s="353">
        <f>K29*AA33</f>
        <v>5701.1849192886211</v>
      </c>
      <c r="P29" s="452"/>
      <c r="Q29" s="453">
        <v>2020</v>
      </c>
      <c r="R29" s="453"/>
      <c r="S29" s="454"/>
      <c r="T29" s="16"/>
      <c r="U29" s="257"/>
      <c r="V29" s="258" t="s">
        <v>164</v>
      </c>
      <c r="W29" s="258" t="s">
        <v>163</v>
      </c>
      <c r="X29" s="205" t="s">
        <v>214</v>
      </c>
      <c r="Y29" s="258" t="s">
        <v>215</v>
      </c>
      <c r="Z29" s="258"/>
      <c r="AA29" s="259"/>
      <c r="AB29" s="16"/>
      <c r="AC29" s="16"/>
      <c r="AD29" s="16"/>
    </row>
    <row r="30" spans="1:30" ht="15" customHeight="1">
      <c r="A30" s="235">
        <v>14</v>
      </c>
      <c r="B30" s="205">
        <v>2036</v>
      </c>
      <c r="C30" s="13">
        <f t="shared" si="3"/>
        <v>0.85282126220631671</v>
      </c>
      <c r="D30" s="326">
        <f t="shared" si="6"/>
        <v>0.3878172410173249</v>
      </c>
      <c r="E30" s="11"/>
      <c r="F30" s="11"/>
      <c r="G30" s="308">
        <v>26</v>
      </c>
      <c r="H30" s="339">
        <f>Q24+(V24*G30)</f>
        <v>204853.33333333331</v>
      </c>
      <c r="I30" s="339">
        <f>(Q24+(V24*G30)) - (K30*Y30)</f>
        <v>202728.2576095844</v>
      </c>
      <c r="J30" s="339">
        <f t="shared" si="4"/>
        <v>-2125.0757237489161</v>
      </c>
      <c r="K30" s="340">
        <f>K29+Q37</f>
        <v>1143.967123320931</v>
      </c>
      <c r="L30" s="340">
        <f>L29+Q38</f>
        <v>248.43730455959613</v>
      </c>
      <c r="M30" s="341">
        <f>M29+Q39</f>
        <v>895.52981876133515</v>
      </c>
      <c r="N30" s="10"/>
      <c r="O30" s="353">
        <f>K30*AA33</f>
        <v>6022.9116674969355</v>
      </c>
      <c r="P30" s="416" t="s">
        <v>78</v>
      </c>
      <c r="Q30" s="50" t="s">
        <v>79</v>
      </c>
      <c r="R30" s="50" t="s">
        <v>80</v>
      </c>
      <c r="S30" s="51" t="s">
        <v>81</v>
      </c>
      <c r="T30" s="16"/>
      <c r="U30" s="257" t="s">
        <v>162</v>
      </c>
      <c r="V30" s="260">
        <v>325100000</v>
      </c>
      <c r="W30" s="260">
        <v>220430000000</v>
      </c>
      <c r="X30" s="261">
        <f>W30/V30</f>
        <v>678.03752691479542</v>
      </c>
      <c r="Y30" s="262">
        <f>X30/365</f>
        <v>1.8576370600405354</v>
      </c>
      <c r="Z30" s="258"/>
      <c r="AA30" s="259" t="s">
        <v>212</v>
      </c>
      <c r="AB30" s="16"/>
      <c r="AC30" s="16"/>
      <c r="AD30" s="16"/>
    </row>
    <row r="31" spans="1:30" ht="15" customHeight="1">
      <c r="A31" s="328">
        <v>15</v>
      </c>
      <c r="B31" s="205">
        <v>2037</v>
      </c>
      <c r="C31" s="13">
        <f t="shared" si="3"/>
        <v>0.84437748733298679</v>
      </c>
      <c r="D31" s="326">
        <f t="shared" si="6"/>
        <v>0.36244601964235967</v>
      </c>
      <c r="E31" s="11"/>
      <c r="F31" s="11"/>
      <c r="G31" s="308">
        <v>27</v>
      </c>
      <c r="H31" s="339">
        <f>Q24+(V24*G31)</f>
        <v>211989.99999999997</v>
      </c>
      <c r="I31" s="339">
        <f>(Q24+(V24*G31)) - (K31*Y30)</f>
        <v>209751.40879735272</v>
      </c>
      <c r="J31" s="339">
        <f t="shared" si="4"/>
        <v>-2238.5912026472506</v>
      </c>
      <c r="K31" s="340">
        <f>K30+Q37</f>
        <v>1205.0745814677011</v>
      </c>
      <c r="L31" s="340">
        <f>L30+Q38</f>
        <v>261.70811617732903</v>
      </c>
      <c r="M31" s="341">
        <f>M30+Q39</f>
        <v>943.36646529037239</v>
      </c>
      <c r="N31" s="10"/>
      <c r="O31" s="353">
        <f>K31*AA33</f>
        <v>6344.6384157052489</v>
      </c>
      <c r="P31" s="416" t="s">
        <v>85</v>
      </c>
      <c r="Q31" s="50" t="s">
        <v>135</v>
      </c>
      <c r="R31" s="50" t="s">
        <v>135</v>
      </c>
      <c r="S31" s="51" t="s">
        <v>135</v>
      </c>
      <c r="T31" s="16"/>
      <c r="U31" s="257" t="s">
        <v>210</v>
      </c>
      <c r="V31" s="260">
        <v>325100000</v>
      </c>
      <c r="W31" s="258">
        <v>2105882000000</v>
      </c>
      <c r="X31" s="258">
        <f>W31/365</f>
        <v>5769539726.0273972</v>
      </c>
      <c r="Y31" s="263">
        <f>X31/V31</f>
        <v>17.746969320293438</v>
      </c>
      <c r="Z31" s="258">
        <v>60</v>
      </c>
      <c r="AA31" s="264">
        <f>Y31/Z31</f>
        <v>0.29578282200489064</v>
      </c>
      <c r="AB31" s="16"/>
      <c r="AC31" s="16"/>
      <c r="AD31" s="16"/>
    </row>
    <row r="32" spans="1:30" ht="15" customHeight="1">
      <c r="A32" s="235">
        <v>16</v>
      </c>
      <c r="B32" s="205">
        <v>2038</v>
      </c>
      <c r="C32" s="13">
        <f t="shared" si="3"/>
        <v>0.83601731419107606</v>
      </c>
      <c r="D32" s="326">
        <f t="shared" si="6"/>
        <v>0.33873459779659787</v>
      </c>
      <c r="E32" s="11"/>
      <c r="F32" s="11"/>
      <c r="G32" s="308">
        <v>28</v>
      </c>
      <c r="H32" s="339">
        <f>Q24+(V24*G32)</f>
        <v>219126.66666666666</v>
      </c>
      <c r="I32" s="339">
        <f>(Q24+(V24*G32)) - (K32*Y30)</f>
        <v>216774.5599851211</v>
      </c>
      <c r="J32" s="339">
        <f t="shared" si="4"/>
        <v>-2352.1066815455561</v>
      </c>
      <c r="K32" s="340">
        <f>K31+Q37</f>
        <v>1266.1820396144713</v>
      </c>
      <c r="L32" s="340">
        <f>L31+Q38</f>
        <v>274.97892779506196</v>
      </c>
      <c r="M32" s="341">
        <f>M31+Q39</f>
        <v>991.20311181940963</v>
      </c>
      <c r="N32" s="10"/>
      <c r="O32" s="353">
        <f>K32*AA33</f>
        <v>6666.3651639135633</v>
      </c>
      <c r="P32" s="417" t="s">
        <v>104</v>
      </c>
      <c r="Q32" s="54" t="s">
        <v>105</v>
      </c>
      <c r="R32" s="54">
        <v>70</v>
      </c>
      <c r="S32" s="55">
        <v>129</v>
      </c>
      <c r="T32" s="16"/>
      <c r="U32" s="265" t="s">
        <v>211</v>
      </c>
      <c r="V32" s="258"/>
      <c r="W32" s="258"/>
      <c r="X32" s="258"/>
      <c r="Y32" s="258">
        <v>17.8</v>
      </c>
      <c r="Z32" s="258"/>
      <c r="AA32" s="259"/>
      <c r="AB32" s="16"/>
      <c r="AC32" s="16"/>
      <c r="AD32" s="16"/>
    </row>
    <row r="33" spans="1:30" ht="15" customHeight="1" thickBot="1">
      <c r="A33" s="328">
        <v>17</v>
      </c>
      <c r="B33" s="205">
        <v>2039</v>
      </c>
      <c r="C33" s="13">
        <f t="shared" si="3"/>
        <v>0.82773991504066935</v>
      </c>
      <c r="D33" s="326">
        <f t="shared" si="6"/>
        <v>0.31657439046411018</v>
      </c>
      <c r="E33" s="11"/>
      <c r="F33" s="11"/>
      <c r="G33" s="308">
        <v>29</v>
      </c>
      <c r="H33" s="339">
        <f>Q24+(V24*G33)</f>
        <v>226263.33333333331</v>
      </c>
      <c r="I33" s="339">
        <f>(Q24+(V24*G33)) - (K33*Y30)</f>
        <v>223797.71117288945</v>
      </c>
      <c r="J33" s="339">
        <f t="shared" si="4"/>
        <v>-2465.6221604438615</v>
      </c>
      <c r="K33" s="340">
        <f>K32+Q37</f>
        <v>1327.2894977612414</v>
      </c>
      <c r="L33" s="340">
        <f>L32+Q38</f>
        <v>288.2497394127949</v>
      </c>
      <c r="M33" s="341">
        <f>M32+Q39</f>
        <v>1039.0397583484469</v>
      </c>
      <c r="N33" s="10"/>
      <c r="O33" s="353">
        <f>K33*AA33</f>
        <v>6988.0919121218767</v>
      </c>
      <c r="P33" s="418" t="s">
        <v>107</v>
      </c>
      <c r="Q33" s="161" t="s">
        <v>108</v>
      </c>
      <c r="R33" s="161" t="s">
        <v>109</v>
      </c>
      <c r="S33" s="455">
        <v>465</v>
      </c>
      <c r="T33" s="16"/>
      <c r="U33" s="266"/>
      <c r="V33" s="267"/>
      <c r="W33" s="267"/>
      <c r="X33" s="267"/>
      <c r="Y33" s="267"/>
      <c r="Z33" s="267" t="s">
        <v>213</v>
      </c>
      <c r="AA33" s="268">
        <f>Y32*AA31</f>
        <v>5.2649342316870538</v>
      </c>
      <c r="AB33" s="16"/>
      <c r="AC33" s="16"/>
      <c r="AD33" s="16"/>
    </row>
    <row r="34" spans="1:30" ht="15" customHeight="1">
      <c r="A34" s="235">
        <v>18</v>
      </c>
      <c r="B34" s="205">
        <v>2040</v>
      </c>
      <c r="C34" s="13">
        <f t="shared" si="3"/>
        <v>0.81954447033729638</v>
      </c>
      <c r="D34" s="326">
        <f t="shared" si="6"/>
        <v>0.29586391632159825</v>
      </c>
      <c r="E34" s="11"/>
      <c r="F34" s="11"/>
      <c r="G34" s="308">
        <v>30</v>
      </c>
      <c r="H34" s="339">
        <f>Q24+(V24*G34)</f>
        <v>233399.99999999997</v>
      </c>
      <c r="I34" s="339">
        <f>(Q24+(V24*G34)) - (K34*Y30)</f>
        <v>230820.86236065777</v>
      </c>
      <c r="J34" s="339">
        <f t="shared" si="4"/>
        <v>-2579.1376393421961</v>
      </c>
      <c r="K34" s="340">
        <f>K33+Q37</f>
        <v>1388.3969559080115</v>
      </c>
      <c r="L34" s="340">
        <f>L33+Q38</f>
        <v>301.52055103052783</v>
      </c>
      <c r="M34" s="341">
        <f>M33+Q39</f>
        <v>1086.876404877484</v>
      </c>
      <c r="N34" s="10"/>
      <c r="O34" s="353">
        <f>K34*AA33</f>
        <v>7309.8186603301911</v>
      </c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</row>
    <row r="35" spans="1:30" ht="15" customHeight="1" thickBot="1">
      <c r="A35" s="328">
        <v>19</v>
      </c>
      <c r="B35" s="205">
        <v>2041</v>
      </c>
      <c r="C35" s="13">
        <f t="shared" si="3"/>
        <v>0.81143016865078843</v>
      </c>
      <c r="D35" s="326">
        <f t="shared" si="6"/>
        <v>0.27650833301083949</v>
      </c>
      <c r="E35" s="11"/>
      <c r="F35" s="11"/>
      <c r="G35" s="308">
        <v>31</v>
      </c>
      <c r="H35" s="339">
        <f>Q24+(V24*G35)</f>
        <v>240536.66666666666</v>
      </c>
      <c r="I35" s="339">
        <f>(Q24+(V24*G35)) - (K35*Y30)</f>
        <v>237844.01354842616</v>
      </c>
      <c r="J35" s="339">
        <f t="shared" si="4"/>
        <v>-2692.6531182405015</v>
      </c>
      <c r="K35" s="340">
        <f>K34+Q37</f>
        <v>1449.5044140547816</v>
      </c>
      <c r="L35" s="340">
        <f>L34+Q38</f>
        <v>314.79136264826076</v>
      </c>
      <c r="M35" s="341">
        <f>M34+Q39</f>
        <v>1134.7130514065211</v>
      </c>
      <c r="N35" s="10"/>
      <c r="O35" s="353">
        <f>K35*AA33</f>
        <v>7631.5454085385045</v>
      </c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</row>
    <row r="36" spans="1:30" ht="15" customHeight="1">
      <c r="A36" s="235">
        <v>20</v>
      </c>
      <c r="B36" s="205">
        <v>2042</v>
      </c>
      <c r="C36" s="13">
        <f t="shared" si="3"/>
        <v>0.80339620658493893</v>
      </c>
      <c r="D36" s="326">
        <f t="shared" si="6"/>
        <v>0.2584190028138687</v>
      </c>
      <c r="E36" s="11"/>
      <c r="F36" s="11"/>
      <c r="G36" s="308">
        <v>32</v>
      </c>
      <c r="H36" s="339">
        <f>Q24+(V24*G36)</f>
        <v>247673.33333333331</v>
      </c>
      <c r="I36" s="339">
        <f>(Q24+(V24*G36)) - (K36*Y30)</f>
        <v>244867.16473619451</v>
      </c>
      <c r="J36" s="339">
        <f t="shared" si="4"/>
        <v>-2806.1685971388069</v>
      </c>
      <c r="K36" s="340">
        <f>K35+Q37</f>
        <v>1510.6118722015517</v>
      </c>
      <c r="L36" s="340">
        <f>L35+Q38</f>
        <v>328.06217426599369</v>
      </c>
      <c r="M36" s="341">
        <f>M35+Q39</f>
        <v>1182.5496979355582</v>
      </c>
      <c r="N36" s="10"/>
      <c r="O36" s="353">
        <f>K36*AA33</f>
        <v>7953.2721567468188</v>
      </c>
      <c r="P36" s="233"/>
      <c r="Q36" s="233" t="s">
        <v>165</v>
      </c>
      <c r="R36" s="234"/>
      <c r="S36" s="16"/>
      <c r="T36" s="232"/>
      <c r="U36" s="240" t="s">
        <v>181</v>
      </c>
      <c r="V36" s="240"/>
      <c r="W36" s="241"/>
      <c r="X36" s="16"/>
      <c r="Y36" s="16"/>
      <c r="Z36" s="16"/>
      <c r="AA36" s="16"/>
      <c r="AB36" s="16"/>
      <c r="AC36" s="16"/>
      <c r="AD36" s="16"/>
    </row>
    <row r="37" spans="1:30" ht="15" customHeight="1" thickBot="1">
      <c r="A37" s="328">
        <v>21</v>
      </c>
      <c r="B37" s="205">
        <v>2043</v>
      </c>
      <c r="C37" s="13">
        <f t="shared" si="3"/>
        <v>0.79544178869795934</v>
      </c>
      <c r="D37" s="326">
        <f t="shared" si="6"/>
        <v>0.24151308674193336</v>
      </c>
      <c r="E37" s="11"/>
      <c r="F37" s="11"/>
      <c r="G37" s="308">
        <v>33</v>
      </c>
      <c r="H37" s="339">
        <f>Q24+(V24*G37)</f>
        <v>254809.99999999997</v>
      </c>
      <c r="I37" s="339">
        <f>(Q24+(V24*G37)) - (K37*Y30)</f>
        <v>251890.31592396283</v>
      </c>
      <c r="J37" s="339">
        <f t="shared" si="4"/>
        <v>-2919.6840760371415</v>
      </c>
      <c r="K37" s="340">
        <f>K36+Q37</f>
        <v>1571.7193303483218</v>
      </c>
      <c r="L37" s="340">
        <f>L36+Q38</f>
        <v>341.33298588372662</v>
      </c>
      <c r="M37" s="341">
        <f>M36+Q39</f>
        <v>1230.3863444645954</v>
      </c>
      <c r="N37" s="10"/>
      <c r="O37" s="353">
        <f>K37*AA33</f>
        <v>8274.9989049551332</v>
      </c>
      <c r="P37" s="205" t="s">
        <v>175</v>
      </c>
      <c r="Q37" s="205">
        <f>Benefits!R61+Benefits!R62</f>
        <v>61.107458146770135</v>
      </c>
      <c r="R37" s="236"/>
      <c r="T37" s="177" t="s">
        <v>183</v>
      </c>
      <c r="U37" s="242" t="s">
        <v>182</v>
      </c>
      <c r="V37" s="242"/>
      <c r="W37" s="178">
        <v>5.98</v>
      </c>
      <c r="X37" s="8" t="s">
        <v>184</v>
      </c>
      <c r="Y37" s="17" t="s">
        <v>185</v>
      </c>
      <c r="Z37" s="16"/>
      <c r="AA37" s="16"/>
      <c r="AB37" s="16"/>
      <c r="AC37" s="16"/>
      <c r="AD37" s="16"/>
    </row>
    <row r="38" spans="1:30" ht="15" customHeight="1" thickBot="1">
      <c r="A38" s="235">
        <v>22</v>
      </c>
      <c r="B38" s="205">
        <v>2044</v>
      </c>
      <c r="C38" s="13">
        <f t="shared" si="3"/>
        <v>0.78756612742372212</v>
      </c>
      <c r="D38" s="326">
        <f t="shared" si="6"/>
        <v>0.22571316517937698</v>
      </c>
      <c r="E38" s="11"/>
      <c r="F38" s="11"/>
      <c r="G38" s="308">
        <v>34</v>
      </c>
      <c r="H38" s="339">
        <f>Q24+(V24*G38)</f>
        <v>261946.66666666666</v>
      </c>
      <c r="I38" s="339">
        <f>(Q24+(V24*G38)) - (K38*Y30)</f>
        <v>258913.46711173121</v>
      </c>
      <c r="J38" s="339">
        <f t="shared" si="4"/>
        <v>-3033.1995549354469</v>
      </c>
      <c r="K38" s="340">
        <f>K37+Q37</f>
        <v>1632.8267884950919</v>
      </c>
      <c r="L38" s="340">
        <f>L37+Q38</f>
        <v>354.60379750145955</v>
      </c>
      <c r="M38" s="341">
        <f>M37+Q39</f>
        <v>1278.2229909936325</v>
      </c>
      <c r="N38" s="10"/>
      <c r="O38" s="353">
        <f>K38*AA33</f>
        <v>8596.7256531634466</v>
      </c>
      <c r="P38" s="205" t="s">
        <v>172</v>
      </c>
      <c r="Q38" s="205">
        <f>Benefits!R61</f>
        <v>13.270811617732912</v>
      </c>
      <c r="R38" s="236"/>
      <c r="Z38" s="16"/>
      <c r="AA38" s="16"/>
      <c r="AB38" s="16"/>
      <c r="AC38" s="16"/>
      <c r="AD38" s="16"/>
    </row>
    <row r="39" spans="1:30" ht="15" customHeight="1" thickBot="1">
      <c r="A39" s="328">
        <v>23</v>
      </c>
      <c r="B39" s="205">
        <v>2045</v>
      </c>
      <c r="C39" s="13">
        <f t="shared" si="3"/>
        <v>0.77976844299378434</v>
      </c>
      <c r="D39" s="326">
        <f t="shared" si="6"/>
        <v>0.21094688334521211</v>
      </c>
      <c r="E39" s="11"/>
      <c r="F39" s="11"/>
      <c r="G39" s="308">
        <v>35</v>
      </c>
      <c r="H39" s="339">
        <f>Q24+(V24*G39)</f>
        <v>269083.33333333331</v>
      </c>
      <c r="I39" s="339">
        <f>(Q24+(V24*G39)) - (K39*Y30)</f>
        <v>265936.61829949956</v>
      </c>
      <c r="J39" s="339">
        <f t="shared" si="4"/>
        <v>-3146.7150338337524</v>
      </c>
      <c r="K39" s="340">
        <f>K38+Q37</f>
        <v>1693.934246641862</v>
      </c>
      <c r="L39" s="340">
        <f>L38+Q38</f>
        <v>367.87460911919248</v>
      </c>
      <c r="M39" s="341">
        <f>M38+Q39</f>
        <v>1326.0596375226696</v>
      </c>
      <c r="N39" s="10"/>
      <c r="O39" s="353">
        <f>K39*AA33</f>
        <v>8918.4524013717601</v>
      </c>
      <c r="P39" s="237" t="s">
        <v>173</v>
      </c>
      <c r="Q39" s="237">
        <f>Benefits!R62</f>
        <v>47.836646529037225</v>
      </c>
      <c r="R39" s="178"/>
      <c r="T39" s="243" t="s">
        <v>186</v>
      </c>
      <c r="U39" s="244"/>
      <c r="V39" s="244"/>
      <c r="W39" s="245" t="s">
        <v>187</v>
      </c>
      <c r="Z39" s="16"/>
      <c r="AA39" s="16"/>
      <c r="AB39" s="16"/>
      <c r="AC39" s="16"/>
      <c r="AD39" s="16"/>
    </row>
    <row r="40" spans="1:30" ht="15" customHeight="1" thickBot="1">
      <c r="A40" s="235">
        <v>24</v>
      </c>
      <c r="B40" s="205">
        <v>2046</v>
      </c>
      <c r="C40" s="13">
        <f t="shared" ref="C40:C46" si="7">C39*C39/C38</f>
        <v>0.77204796336018255</v>
      </c>
      <c r="D40" s="326">
        <f t="shared" ref="D40:D46" si="8">MIN(1.07^-(B40-B$16),1)</f>
        <v>0.19714661994879637</v>
      </c>
      <c r="G40" s="308">
        <v>36</v>
      </c>
      <c r="H40" s="339">
        <f>Q24+(V24*G40)</f>
        <v>276220</v>
      </c>
      <c r="I40" s="263">
        <f>(Q24+(V24*G40)) - (K40*Y30)</f>
        <v>272959.76948726794</v>
      </c>
      <c r="J40" s="339">
        <f t="shared" si="4"/>
        <v>-3260.2305127320578</v>
      </c>
      <c r="K40" s="340">
        <f>K39+Q37</f>
        <v>1755.0417047886322</v>
      </c>
      <c r="L40" s="340">
        <f>L39+Q38</f>
        <v>381.14542073692542</v>
      </c>
      <c r="M40" s="341">
        <f>M39+Q39</f>
        <v>1373.8962840517067</v>
      </c>
      <c r="N40" s="10"/>
      <c r="O40" s="353">
        <f>K40*AA33</f>
        <v>9240.1791495800735</v>
      </c>
      <c r="T40" s="246" t="s">
        <v>188</v>
      </c>
      <c r="U40" s="205">
        <v>0.45</v>
      </c>
      <c r="V40" s="205"/>
      <c r="W40" s="247"/>
      <c r="Z40" s="16"/>
      <c r="AA40" s="16"/>
      <c r="AB40" s="16"/>
      <c r="AC40" s="16"/>
      <c r="AD40" s="16"/>
    </row>
    <row r="41" spans="1:30" ht="15" customHeight="1" thickBot="1">
      <c r="A41" s="328">
        <v>25</v>
      </c>
      <c r="B41" s="205">
        <v>2047</v>
      </c>
      <c r="C41" s="13">
        <f t="shared" si="7"/>
        <v>0.76440392411899261</v>
      </c>
      <c r="D41" s="326">
        <f t="shared" si="8"/>
        <v>0.18424917752223957</v>
      </c>
      <c r="G41" s="308">
        <v>37</v>
      </c>
      <c r="H41" s="339">
        <f>Q24+(V24*G41)</f>
        <v>283356.66666666663</v>
      </c>
      <c r="I41" s="263">
        <f>(Q24+(V24*G41)) - (K41*Y30)</f>
        <v>279982.92067503621</v>
      </c>
      <c r="J41" s="339">
        <f t="shared" si="4"/>
        <v>-3373.7459916304215</v>
      </c>
      <c r="K41" s="340">
        <f>K40+Q37</f>
        <v>1816.1491629354023</v>
      </c>
      <c r="L41" s="340">
        <f>L40+Q38</f>
        <v>394.41623235465835</v>
      </c>
      <c r="M41" s="341">
        <f>M40+Q39</f>
        <v>1421.7329305807439</v>
      </c>
      <c r="N41" s="10"/>
      <c r="O41" s="353">
        <f>K41*AA33</f>
        <v>9561.9058977883888</v>
      </c>
      <c r="P41" s="244" t="s">
        <v>178</v>
      </c>
      <c r="Q41" s="239" t="s">
        <v>180</v>
      </c>
      <c r="R41" s="239"/>
      <c r="S41" s="239"/>
      <c r="T41" s="177"/>
      <c r="U41" s="237"/>
      <c r="V41" s="237"/>
      <c r="W41" s="248"/>
      <c r="Z41" s="16"/>
      <c r="AA41" s="16"/>
      <c r="AB41" s="16"/>
      <c r="AC41" s="16"/>
      <c r="AD41" s="16"/>
    </row>
    <row r="42" spans="1:30" ht="15" customHeight="1" thickBot="1">
      <c r="A42" s="235">
        <v>26</v>
      </c>
      <c r="B42" s="205">
        <v>2048</v>
      </c>
      <c r="C42" s="13">
        <f t="shared" si="7"/>
        <v>0.75683556843464606</v>
      </c>
      <c r="D42" s="326">
        <f t="shared" si="8"/>
        <v>0.17219549301143888</v>
      </c>
      <c r="G42" s="308">
        <v>38</v>
      </c>
      <c r="H42" s="339">
        <f>Q24+(V24*G42)</f>
        <v>290493.33333333331</v>
      </c>
      <c r="I42" s="263">
        <f>(Q24+(V24*G42)) - (K42*Y30)</f>
        <v>287006.07186280459</v>
      </c>
      <c r="J42" s="339">
        <f t="shared" si="4"/>
        <v>-3487.2614705287269</v>
      </c>
      <c r="K42" s="340">
        <f>K41+Q37</f>
        <v>1877.2566210821724</v>
      </c>
      <c r="L42" s="340">
        <f>L41+Q38</f>
        <v>407.68704397239128</v>
      </c>
      <c r="M42" s="341">
        <f>M41+Q39</f>
        <v>1469.569577109781</v>
      </c>
      <c r="N42" s="10"/>
      <c r="O42" s="353">
        <f>K42*AA33</f>
        <v>9883.6326459967022</v>
      </c>
      <c r="P42" s="237" t="s">
        <v>179</v>
      </c>
      <c r="Q42" s="237">
        <v>0.09</v>
      </c>
      <c r="R42" s="237"/>
      <c r="S42" s="178"/>
    </row>
    <row r="43" spans="1:30" ht="15" customHeight="1" thickBot="1">
      <c r="A43" s="328">
        <v>27</v>
      </c>
      <c r="B43" s="205">
        <v>2049</v>
      </c>
      <c r="C43" s="13">
        <f t="shared" si="7"/>
        <v>0.74934214696499601</v>
      </c>
      <c r="D43" s="326">
        <f t="shared" si="8"/>
        <v>0.16093036730041013</v>
      </c>
      <c r="G43" s="308">
        <v>39</v>
      </c>
      <c r="H43" s="339">
        <f>Q24+(V24*G43)</f>
        <v>297630</v>
      </c>
      <c r="I43" s="263">
        <f>(Q24+(V24*G43)) - (K43*Y30)</f>
        <v>294029.22305057297</v>
      </c>
      <c r="J43" s="339">
        <f t="shared" si="4"/>
        <v>-3600.7769494270324</v>
      </c>
      <c r="K43" s="340">
        <f>K42+Q37</f>
        <v>1938.3640792289425</v>
      </c>
      <c r="L43" s="340">
        <f>L42+Q38</f>
        <v>420.95785559012421</v>
      </c>
      <c r="M43" s="341">
        <f>M42+Q39</f>
        <v>1517.4062236388181</v>
      </c>
      <c r="N43" s="10"/>
      <c r="O43" s="353">
        <f>K43*AA33</f>
        <v>10205.359394205016</v>
      </c>
    </row>
    <row r="44" spans="1:30">
      <c r="A44" s="235">
        <v>28</v>
      </c>
      <c r="B44" s="205">
        <v>2050</v>
      </c>
      <c r="C44" s="13">
        <f t="shared" si="7"/>
        <v>0.7419229177871246</v>
      </c>
      <c r="D44" s="326">
        <f t="shared" si="8"/>
        <v>0.15040221243028987</v>
      </c>
      <c r="G44" s="308">
        <v>40</v>
      </c>
      <c r="H44" s="339">
        <f>Q24+(V24*G44)</f>
        <v>304766.66666666663</v>
      </c>
      <c r="I44" s="263">
        <f>(Q24+(V24*G44)) - (K44*Y30)</f>
        <v>301052.37423834129</v>
      </c>
      <c r="J44" s="339">
        <f t="shared" si="4"/>
        <v>-3714.2924283253378</v>
      </c>
      <c r="K44" s="340">
        <f>K43+Q37</f>
        <v>1999.4715373757126</v>
      </c>
      <c r="L44" s="340">
        <f>L43+Q38</f>
        <v>434.22866720785714</v>
      </c>
      <c r="M44" s="341">
        <f>M43+Q39</f>
        <v>1565.2428701678552</v>
      </c>
      <c r="N44" s="10"/>
      <c r="O44" s="353">
        <f>K44*AA33</f>
        <v>10527.086142413329</v>
      </c>
      <c r="T44" s="238" t="s">
        <v>220</v>
      </c>
      <c r="U44" s="249" t="s">
        <v>221</v>
      </c>
      <c r="V44" s="249"/>
      <c r="W44" s="250"/>
    </row>
    <row r="45" spans="1:30" ht="15" customHeight="1">
      <c r="A45" s="328">
        <v>29</v>
      </c>
      <c r="B45" s="205">
        <v>2051</v>
      </c>
      <c r="C45" s="13">
        <f t="shared" si="7"/>
        <v>0.7345771463238856</v>
      </c>
      <c r="D45" s="326">
        <f t="shared" si="8"/>
        <v>0.1405628153554111</v>
      </c>
      <c r="G45" s="308">
        <v>41</v>
      </c>
      <c r="H45" s="339">
        <f>Q24+(V24*G45)</f>
        <v>311903.33333333331</v>
      </c>
      <c r="I45" s="263">
        <f>(Q24+(V24*G45)) - (K45*Y30)</f>
        <v>308075.52542610967</v>
      </c>
      <c r="J45" s="339">
        <f t="shared" si="4"/>
        <v>-3827.8079072236433</v>
      </c>
      <c r="K45" s="340">
        <f>K44+Q37</f>
        <v>2060.5789955224827</v>
      </c>
      <c r="L45" s="340">
        <f>L44+Q38</f>
        <v>447.49947882559007</v>
      </c>
      <c r="M45" s="341">
        <f>M44+Q39</f>
        <v>1613.0795166968924</v>
      </c>
      <c r="N45" s="10"/>
      <c r="O45" s="353">
        <f>K45*AA33</f>
        <v>10848.812890621644</v>
      </c>
      <c r="T45" s="251" t="s">
        <v>222</v>
      </c>
      <c r="U45" s="252">
        <v>1.42</v>
      </c>
      <c r="V45" s="205"/>
      <c r="W45" s="236"/>
    </row>
    <row r="46" spans="1:30" ht="15" thickBot="1">
      <c r="A46" s="177">
        <v>30</v>
      </c>
      <c r="B46" s="237">
        <v>2052</v>
      </c>
      <c r="C46" s="330">
        <f t="shared" si="7"/>
        <v>0.72730410527117373</v>
      </c>
      <c r="D46" s="331">
        <f t="shared" si="8"/>
        <v>0.13136711715458982</v>
      </c>
      <c r="G46" s="342">
        <v>42</v>
      </c>
      <c r="H46" s="343">
        <f>Q24+(V24*G46)</f>
        <v>319040</v>
      </c>
      <c r="I46" s="344">
        <f>(Q24+(V24*G46)) - (K46*Y30)</f>
        <v>315098.67661387799</v>
      </c>
      <c r="J46" s="343">
        <f t="shared" si="4"/>
        <v>-3941.3233861220069</v>
      </c>
      <c r="K46" s="345">
        <f>K45+Q37</f>
        <v>2121.6864536692528</v>
      </c>
      <c r="L46" s="345">
        <f>L45+Q38</f>
        <v>460.77029044332301</v>
      </c>
      <c r="M46" s="346">
        <f>M45+Q39</f>
        <v>1660.9161632259295</v>
      </c>
      <c r="O46" s="354">
        <f>K46*AA33</f>
        <v>11170.539638829958</v>
      </c>
      <c r="T46" s="253"/>
      <c r="U46" s="254"/>
      <c r="V46" s="237"/>
      <c r="W46" s="178"/>
    </row>
    <row r="47" spans="1:30">
      <c r="C47" s="151"/>
      <c r="D47" s="9"/>
      <c r="G47" s="10"/>
      <c r="L47" s="11"/>
      <c r="M47" s="11"/>
      <c r="N47" s="28"/>
    </row>
    <row r="48" spans="1:30">
      <c r="C48" s="151"/>
      <c r="D48" s="9"/>
      <c r="L48" s="11"/>
      <c r="M48" s="11"/>
    </row>
    <row r="49" spans="3:23">
      <c r="C49" s="8"/>
      <c r="E49" s="8"/>
      <c r="F49" s="8"/>
      <c r="G49" s="8"/>
      <c r="L49" s="11"/>
      <c r="M49" s="11"/>
    </row>
    <row r="50" spans="3:23">
      <c r="C50" s="8"/>
      <c r="E50" s="8"/>
      <c r="F50" s="8"/>
      <c r="G50" s="8"/>
      <c r="L50" s="11"/>
      <c r="M50" s="11"/>
      <c r="P50" s="40"/>
    </row>
    <row r="51" spans="3:23">
      <c r="C51" s="8"/>
      <c r="E51" s="8"/>
      <c r="F51" s="8"/>
      <c r="G51" s="8"/>
      <c r="K51" s="8"/>
      <c r="L51" s="16"/>
      <c r="M51" s="16"/>
      <c r="P51" s="40"/>
    </row>
    <row r="52" spans="3:23">
      <c r="C52" s="8"/>
      <c r="E52" s="8"/>
      <c r="F52" s="8"/>
      <c r="G52" s="8"/>
      <c r="K52" s="8"/>
      <c r="L52" s="16"/>
      <c r="M52" s="16"/>
      <c r="P52" s="40"/>
    </row>
    <row r="53" spans="3:23">
      <c r="C53" s="8"/>
      <c r="E53" s="8"/>
      <c r="F53" s="8"/>
      <c r="G53" s="8"/>
      <c r="K53" s="8"/>
      <c r="P53" s="40"/>
    </row>
    <row r="54" spans="3:23" ht="15">
      <c r="C54" s="8"/>
      <c r="E54" s="8"/>
      <c r="F54" s="8"/>
      <c r="G54" s="8"/>
      <c r="H54" s="136"/>
      <c r="I54" s="136"/>
      <c r="J54" s="136"/>
      <c r="K54" s="136"/>
      <c r="L54" s="136"/>
      <c r="M54" s="136"/>
      <c r="P54" s="206"/>
      <c r="T54" s="208"/>
    </row>
    <row r="55" spans="3:23" ht="15">
      <c r="C55" s="8"/>
      <c r="E55" s="8"/>
      <c r="F55" s="8"/>
      <c r="G55" s="8"/>
      <c r="H55" s="138"/>
      <c r="I55" s="138"/>
      <c r="J55" s="139"/>
      <c r="K55" s="137"/>
      <c r="L55" s="138"/>
      <c r="M55" s="138"/>
      <c r="P55" s="207"/>
      <c r="T55" s="208"/>
    </row>
    <row r="56" spans="3:23" ht="15" customHeight="1">
      <c r="C56" s="8"/>
      <c r="E56" s="8"/>
      <c r="F56" s="8"/>
      <c r="G56" s="8"/>
      <c r="H56" s="138"/>
      <c r="I56" s="138"/>
      <c r="J56" s="139"/>
      <c r="K56" s="137"/>
      <c r="L56" s="138"/>
      <c r="M56" s="138"/>
      <c r="P56" s="207"/>
      <c r="T56" s="208"/>
      <c r="V56" s="209"/>
    </row>
    <row r="57" spans="3:23" ht="15" customHeight="1">
      <c r="C57" s="8"/>
      <c r="E57" s="8"/>
      <c r="F57" s="8"/>
      <c r="G57" s="8"/>
      <c r="H57" s="138"/>
      <c r="I57" s="138"/>
      <c r="J57" s="141"/>
      <c r="K57" s="140"/>
      <c r="L57" s="138"/>
      <c r="M57" s="138"/>
      <c r="P57" s="207"/>
      <c r="T57" s="208"/>
    </row>
    <row r="58" spans="3:23" ht="15" customHeight="1">
      <c r="C58" s="8"/>
      <c r="E58" s="8"/>
      <c r="F58" s="8"/>
      <c r="G58" s="8"/>
      <c r="H58" s="138"/>
      <c r="I58" s="138"/>
      <c r="J58" s="141"/>
      <c r="K58" s="140"/>
      <c r="L58" s="138"/>
      <c r="M58" s="138"/>
      <c r="N58" s="138"/>
      <c r="T58" s="208"/>
      <c r="W58" s="201"/>
    </row>
    <row r="59" spans="3:23" ht="15" customHeight="1">
      <c r="C59" s="8"/>
      <c r="E59" s="8"/>
      <c r="F59" s="8"/>
      <c r="G59" s="8"/>
      <c r="H59" s="138"/>
      <c r="I59" s="138"/>
      <c r="J59" s="141"/>
      <c r="K59" s="140"/>
      <c r="L59" s="138"/>
      <c r="M59" s="138"/>
      <c r="N59" s="138"/>
      <c r="T59" s="208"/>
    </row>
    <row r="60" spans="3:23" ht="15">
      <c r="C60" s="8"/>
      <c r="E60" s="8"/>
      <c r="F60" s="8"/>
      <c r="G60" s="8"/>
      <c r="K60" s="8"/>
      <c r="T60" s="208"/>
    </row>
    <row r="61" spans="3:23" ht="15">
      <c r="C61" s="8"/>
      <c r="E61" s="8"/>
      <c r="F61" s="8"/>
      <c r="G61" s="8"/>
      <c r="K61" s="8"/>
      <c r="T61" s="208"/>
    </row>
    <row r="62" spans="3:23" ht="15">
      <c r="K62" s="8"/>
      <c r="T62" s="208"/>
    </row>
    <row r="63" spans="3:23" ht="15">
      <c r="K63" s="8"/>
      <c r="T63" s="208"/>
    </row>
    <row r="64" spans="3:23" ht="15" customHeight="1">
      <c r="K64" s="8"/>
    </row>
    <row r="65" spans="11:11" ht="15" customHeight="1">
      <c r="K65" s="8"/>
    </row>
    <row r="66" spans="11:11" ht="15" customHeight="1">
      <c r="K66" s="8"/>
    </row>
    <row r="67" spans="11:11" ht="15" customHeight="1">
      <c r="K67" s="8"/>
    </row>
    <row r="68" spans="11:11" ht="15" customHeight="1">
      <c r="K68" s="8"/>
    </row>
    <row r="69" spans="11:11" ht="15" customHeight="1">
      <c r="K69" s="8"/>
    </row>
    <row r="70" spans="11:11" ht="15" customHeight="1">
      <c r="K70" s="8"/>
    </row>
    <row r="71" spans="11:11" ht="15" customHeight="1">
      <c r="K71" s="8"/>
    </row>
    <row r="72" spans="11:11" ht="15" customHeight="1">
      <c r="K72" s="8"/>
    </row>
    <row r="73" spans="11:11" ht="15" customHeight="1">
      <c r="K73" s="8"/>
    </row>
    <row r="74" spans="11:11" ht="15" customHeight="1">
      <c r="K74" s="8"/>
    </row>
    <row r="75" spans="11:11" ht="15" customHeight="1">
      <c r="K75" s="8"/>
    </row>
    <row r="76" spans="11:11" ht="15" customHeight="1">
      <c r="K76" s="8"/>
    </row>
    <row r="77" spans="11:11" ht="15" customHeight="1">
      <c r="K77" s="8"/>
    </row>
    <row r="78" spans="11:11" ht="15" customHeight="1">
      <c r="K78" s="8"/>
    </row>
    <row r="79" spans="11:11" ht="15" customHeight="1">
      <c r="K79" s="8"/>
    </row>
    <row r="80" spans="11:11" ht="15" customHeight="1">
      <c r="K80" s="8"/>
    </row>
    <row r="81" spans="11:11" ht="15" customHeight="1">
      <c r="K81" s="8"/>
    </row>
    <row r="82" spans="11:11" ht="15" customHeight="1">
      <c r="K82" s="8"/>
    </row>
    <row r="83" spans="11:11" ht="15" customHeight="1">
      <c r="K83" s="8"/>
    </row>
    <row r="84" spans="11:11" ht="15" customHeight="1">
      <c r="K84" s="8"/>
    </row>
    <row r="85" spans="11:11" ht="15" customHeight="1">
      <c r="K85" s="8"/>
    </row>
    <row r="86" spans="11:11" ht="15" customHeight="1">
      <c r="K86" s="8"/>
    </row>
    <row r="87" spans="11:11" ht="15" customHeight="1">
      <c r="K87" s="8"/>
    </row>
    <row r="88" spans="11:11" ht="15" customHeight="1">
      <c r="K88" s="8"/>
    </row>
    <row r="89" spans="11:11" ht="15" customHeight="1">
      <c r="K89" s="8"/>
    </row>
    <row r="90" spans="11:11" ht="15" customHeight="1">
      <c r="K90" s="8"/>
    </row>
    <row r="91" spans="11:11" ht="15" customHeight="1">
      <c r="K91" s="8"/>
    </row>
    <row r="92" spans="11:11" ht="15" customHeight="1">
      <c r="K92" s="8"/>
    </row>
    <row r="93" spans="11:11" ht="15" customHeight="1">
      <c r="K93" s="8"/>
    </row>
    <row r="94" spans="11:11" ht="15" customHeight="1">
      <c r="K94" s="8"/>
    </row>
    <row r="95" spans="11:11" ht="15" customHeight="1">
      <c r="K95" s="8"/>
    </row>
    <row r="96" spans="11:11" ht="15" customHeight="1">
      <c r="K96" s="8"/>
    </row>
    <row r="97" spans="11:11" ht="15" customHeight="1">
      <c r="K97" s="8"/>
    </row>
    <row r="98" spans="11:11" ht="15" customHeight="1">
      <c r="K98" s="8"/>
    </row>
    <row r="99" spans="11:11" ht="15" customHeight="1">
      <c r="K99" s="8"/>
    </row>
    <row r="100" spans="11:11" ht="15" customHeight="1">
      <c r="K100" s="8"/>
    </row>
    <row r="101" spans="11:11" ht="15" customHeight="1">
      <c r="K101" s="8"/>
    </row>
    <row r="102" spans="11:11" ht="15" customHeight="1">
      <c r="K102" s="8"/>
    </row>
    <row r="103" spans="11:11" ht="15" customHeight="1">
      <c r="K103" s="8"/>
    </row>
    <row r="104" spans="11:11" ht="15" customHeight="1">
      <c r="K104" s="8"/>
    </row>
    <row r="105" spans="11:11" ht="15" customHeight="1">
      <c r="K105" s="8"/>
    </row>
    <row r="106" spans="11:11" ht="15" customHeight="1">
      <c r="K106" s="8"/>
    </row>
    <row r="107" spans="11:11" ht="15" customHeight="1">
      <c r="K107" s="8"/>
    </row>
    <row r="108" spans="11:11" ht="15" customHeight="1">
      <c r="K108" s="8"/>
    </row>
    <row r="109" spans="11:11" ht="15" customHeight="1">
      <c r="K109" s="8"/>
    </row>
    <row r="110" spans="11:11" ht="15" customHeight="1">
      <c r="K110" s="8"/>
    </row>
    <row r="111" spans="11:11" ht="15" customHeight="1">
      <c r="K111" s="8"/>
    </row>
    <row r="112" spans="11:11" ht="15" customHeight="1">
      <c r="K112" s="8"/>
    </row>
    <row r="113" spans="11:11" ht="15" customHeight="1">
      <c r="K113" s="8"/>
    </row>
    <row r="114" spans="11:11" ht="15" customHeight="1">
      <c r="K114" s="8"/>
    </row>
    <row r="115" spans="11:11" ht="15" customHeight="1">
      <c r="K115" s="8"/>
    </row>
    <row r="116" spans="11:11" ht="15" customHeight="1">
      <c r="K116" s="8"/>
    </row>
    <row r="117" spans="11:11" ht="15" customHeight="1">
      <c r="K117" s="8"/>
    </row>
    <row r="118" spans="11:11" ht="15" customHeight="1">
      <c r="K118" s="8"/>
    </row>
    <row r="119" spans="11:11" ht="15" customHeight="1">
      <c r="K119" s="8"/>
    </row>
    <row r="120" spans="11:11" ht="15" customHeight="1">
      <c r="K120" s="8"/>
    </row>
    <row r="121" spans="11:11" ht="15" customHeight="1">
      <c r="K121" s="8"/>
    </row>
    <row r="122" spans="11:11" ht="15" customHeight="1">
      <c r="K122" s="8"/>
    </row>
    <row r="123" spans="11:11" ht="15" customHeight="1">
      <c r="K123" s="8"/>
    </row>
    <row r="124" spans="11:11" ht="15" customHeight="1">
      <c r="K124" s="8"/>
    </row>
    <row r="125" spans="11:11" ht="15" customHeight="1">
      <c r="K125" s="8"/>
    </row>
    <row r="126" spans="11:11" ht="15" customHeight="1">
      <c r="K126" s="8"/>
    </row>
    <row r="127" spans="11:11" ht="15" customHeight="1">
      <c r="K127" s="8"/>
    </row>
    <row r="128" spans="11:11" ht="15" customHeight="1">
      <c r="K128" s="8"/>
    </row>
    <row r="129" spans="11:11" ht="15" customHeight="1">
      <c r="K129" s="8"/>
    </row>
    <row r="130" spans="11:11" ht="15" customHeight="1">
      <c r="K130" s="8"/>
    </row>
    <row r="131" spans="11:11" ht="15" customHeight="1">
      <c r="K131" s="8"/>
    </row>
    <row r="132" spans="11:11" ht="15" customHeight="1">
      <c r="K132" s="8"/>
    </row>
    <row r="133" spans="11:11" ht="15" customHeight="1">
      <c r="K133" s="8"/>
    </row>
    <row r="134" spans="11:11" ht="15" customHeight="1">
      <c r="K134" s="8"/>
    </row>
    <row r="135" spans="11:11" ht="15" customHeight="1">
      <c r="K135" s="8"/>
    </row>
    <row r="136" spans="11:11" ht="15" customHeight="1">
      <c r="K136" s="8"/>
    </row>
    <row r="137" spans="11:11" ht="15" customHeight="1">
      <c r="K137" s="8"/>
    </row>
    <row r="138" spans="11:11" ht="15" customHeight="1">
      <c r="K138" s="8"/>
    </row>
    <row r="139" spans="11:11" ht="15" customHeight="1">
      <c r="K139" s="8"/>
    </row>
    <row r="140" spans="11:11" ht="15" customHeight="1">
      <c r="K140" s="8"/>
    </row>
    <row r="141" spans="11:11" ht="15" customHeight="1">
      <c r="K141" s="8"/>
    </row>
    <row r="142" spans="11:11" ht="15" customHeight="1">
      <c r="K142" s="8"/>
    </row>
    <row r="143" spans="11:11" ht="15" customHeight="1">
      <c r="K143" s="8"/>
    </row>
    <row r="144" spans="11:11" ht="15" customHeight="1">
      <c r="K144" s="8"/>
    </row>
    <row r="145" spans="11:11" ht="15" customHeight="1">
      <c r="K145" s="8"/>
    </row>
    <row r="146" spans="11:11" ht="15" customHeight="1">
      <c r="K146" s="8"/>
    </row>
    <row r="147" spans="11:11" ht="15" customHeight="1">
      <c r="K147" s="8"/>
    </row>
    <row r="148" spans="11:11" ht="15" customHeight="1">
      <c r="K148" s="8"/>
    </row>
    <row r="149" spans="11:11" ht="15" customHeight="1">
      <c r="K149" s="8"/>
    </row>
    <row r="150" spans="11:11" ht="15" customHeight="1">
      <c r="K150" s="8"/>
    </row>
    <row r="151" spans="11:11" ht="15" customHeight="1">
      <c r="K151" s="8"/>
    </row>
    <row r="152" spans="11:11" ht="15" customHeight="1">
      <c r="K152" s="8"/>
    </row>
    <row r="153" spans="11:11" ht="15" customHeight="1">
      <c r="K153" s="8"/>
    </row>
    <row r="154" spans="11:11" ht="15" customHeight="1">
      <c r="K154" s="8"/>
    </row>
    <row r="155" spans="11:11" ht="15" customHeight="1">
      <c r="K155" s="8"/>
    </row>
    <row r="156" spans="11:11" ht="15" customHeight="1">
      <c r="K156" s="8"/>
    </row>
    <row r="157" spans="11:11" ht="15" customHeight="1">
      <c r="K157" s="8"/>
    </row>
    <row r="158" spans="11:11" ht="15" customHeight="1">
      <c r="K158" s="8"/>
    </row>
    <row r="159" spans="11:11" ht="15" customHeight="1">
      <c r="K159" s="8"/>
    </row>
    <row r="160" spans="11:11" ht="15" customHeight="1">
      <c r="K160" s="8"/>
    </row>
    <row r="161" spans="11:11" ht="15" customHeight="1">
      <c r="K161" s="8"/>
    </row>
    <row r="162" spans="11:11" ht="15" customHeight="1">
      <c r="K162" s="8"/>
    </row>
    <row r="163" spans="11:11" ht="15" customHeight="1">
      <c r="K163" s="8"/>
    </row>
    <row r="164" spans="11:11" ht="15" customHeight="1">
      <c r="K164" s="8"/>
    </row>
  </sheetData>
  <mergeCells count="21">
    <mergeCell ref="C9:D9"/>
    <mergeCell ref="I3:K3"/>
    <mergeCell ref="H13:J13"/>
    <mergeCell ref="K13:K14"/>
    <mergeCell ref="M13:M14"/>
    <mergeCell ref="L13:L14"/>
    <mergeCell ref="K12:M12"/>
    <mergeCell ref="U37:V37"/>
    <mergeCell ref="W39:W41"/>
    <mergeCell ref="V16:V17"/>
    <mergeCell ref="Q29:S29"/>
    <mergeCell ref="U28:X28"/>
    <mergeCell ref="Q16:R16"/>
    <mergeCell ref="S16:T16"/>
    <mergeCell ref="X16:Y16"/>
    <mergeCell ref="P1:R1"/>
    <mergeCell ref="R2:R11"/>
    <mergeCell ref="W2:X11"/>
    <mergeCell ref="O13:O14"/>
    <mergeCell ref="T45:T46"/>
    <mergeCell ref="U45:U46"/>
  </mergeCells>
  <hyperlinks>
    <hyperlink ref="U28" r:id="rId1" xr:uid="{1FE638C7-5EED-400D-B24A-19C5C16A7394}"/>
  </hyperlinks>
  <pageMargins left="0.7" right="0.7" top="0.75" bottom="0.75" header="0.3" footer="0.3"/>
  <pageSetup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519D5-9757-403D-AAEC-6757C929B871}">
  <dimension ref="A1:S46"/>
  <sheetViews>
    <sheetView topLeftCell="J19" zoomScale="85" zoomScaleNormal="85" workbookViewId="0">
      <selection activeCell="K39" sqref="K39"/>
    </sheetView>
  </sheetViews>
  <sheetFormatPr defaultRowHeight="15"/>
  <cols>
    <col min="1" max="1" width="30" style="46" customWidth="1"/>
    <col min="2" max="4" width="20" style="46" customWidth="1"/>
    <col min="5" max="5" width="20" style="71" hidden="1" customWidth="1"/>
    <col min="6" max="7" width="20" style="46" customWidth="1"/>
    <col min="8" max="8" width="20" style="47" hidden="1" customWidth="1"/>
    <col min="9" max="9" width="20" style="70" hidden="1" customWidth="1"/>
    <col min="10" max="11" width="20" style="47" customWidth="1"/>
    <col min="12" max="12" width="20" style="47" hidden="1" customWidth="1"/>
    <col min="13" max="13" width="20" style="70" hidden="1" customWidth="1"/>
    <col min="14" max="15" width="20" style="47" customWidth="1"/>
    <col min="16" max="16" width="20" style="47" hidden="1" customWidth="1"/>
    <col min="17" max="17" width="20" style="70" hidden="1" customWidth="1"/>
    <col min="18" max="19" width="20" style="47" customWidth="1"/>
    <col min="20" max="16384" width="9.140625" style="47"/>
  </cols>
  <sheetData>
    <row r="1" spans="1:19">
      <c r="B1" s="135">
        <v>2020</v>
      </c>
      <c r="C1" s="135">
        <v>2020</v>
      </c>
      <c r="D1" s="135">
        <v>2020</v>
      </c>
      <c r="E1" s="222" t="s">
        <v>74</v>
      </c>
      <c r="F1" s="223"/>
      <c r="G1" s="224"/>
      <c r="H1" s="225" t="s">
        <v>75</v>
      </c>
      <c r="I1" s="226"/>
      <c r="J1" s="226"/>
      <c r="K1" s="226"/>
      <c r="L1" s="220" t="s">
        <v>76</v>
      </c>
      <c r="M1" s="220"/>
      <c r="N1" s="220"/>
      <c r="O1" s="220"/>
      <c r="P1" s="221" t="s">
        <v>77</v>
      </c>
      <c r="Q1" s="221"/>
      <c r="R1" s="221"/>
      <c r="S1" s="221"/>
    </row>
    <row r="2" spans="1:19" ht="63.95" customHeight="1">
      <c r="A2" s="48" t="s">
        <v>78</v>
      </c>
      <c r="B2" s="49" t="s">
        <v>79</v>
      </c>
      <c r="C2" s="50" t="s">
        <v>80</v>
      </c>
      <c r="D2" s="51" t="s">
        <v>81</v>
      </c>
      <c r="E2" s="86" t="s">
        <v>82</v>
      </c>
      <c r="F2" s="87" t="s">
        <v>83</v>
      </c>
      <c r="G2" s="88" t="s">
        <v>84</v>
      </c>
      <c r="H2" s="75" t="s">
        <v>81</v>
      </c>
      <c r="I2" s="76" t="s">
        <v>82</v>
      </c>
      <c r="J2" s="77" t="s">
        <v>83</v>
      </c>
      <c r="K2" s="75" t="s">
        <v>84</v>
      </c>
      <c r="L2" s="100" t="s">
        <v>81</v>
      </c>
      <c r="M2" s="101" t="s">
        <v>82</v>
      </c>
      <c r="N2" s="102" t="s">
        <v>83</v>
      </c>
      <c r="O2" s="100" t="s">
        <v>84</v>
      </c>
      <c r="P2" s="111" t="s">
        <v>81</v>
      </c>
      <c r="Q2" s="112" t="s">
        <v>82</v>
      </c>
      <c r="R2" s="113" t="s">
        <v>83</v>
      </c>
      <c r="S2" s="111" t="s">
        <v>84</v>
      </c>
    </row>
    <row r="3" spans="1:19" ht="30" customHeight="1">
      <c r="A3" s="48" t="s">
        <v>85</v>
      </c>
      <c r="B3" s="49" t="s">
        <v>46</v>
      </c>
      <c r="C3" s="50" t="s">
        <v>46</v>
      </c>
      <c r="D3" s="51"/>
      <c r="E3" s="86"/>
      <c r="F3" s="87"/>
      <c r="G3" s="88"/>
      <c r="H3" s="75"/>
      <c r="I3" s="76"/>
      <c r="J3" s="77"/>
      <c r="K3" s="75"/>
      <c r="L3" s="100"/>
      <c r="M3" s="101"/>
      <c r="N3" s="102"/>
      <c r="O3" s="100"/>
      <c r="P3" s="111"/>
      <c r="Q3" s="112"/>
      <c r="R3" s="113"/>
      <c r="S3" s="111"/>
    </row>
    <row r="4" spans="1:19">
      <c r="A4" s="52" t="s">
        <v>36</v>
      </c>
      <c r="B4" s="53" t="s">
        <v>86</v>
      </c>
      <c r="C4" s="54" t="s">
        <v>87</v>
      </c>
      <c r="D4" s="55">
        <f>SUM(B4+C4)</f>
        <v>47307</v>
      </c>
      <c r="E4" s="89">
        <v>0</v>
      </c>
      <c r="F4" s="90">
        <v>47307</v>
      </c>
      <c r="G4" s="91">
        <v>47307</v>
      </c>
      <c r="H4" s="78">
        <f>H34</f>
        <v>46818.399987630073</v>
      </c>
      <c r="I4" s="79">
        <v>0</v>
      </c>
      <c r="J4" s="80">
        <f>H4</f>
        <v>46818.399987630073</v>
      </c>
      <c r="K4" s="78">
        <v>0</v>
      </c>
      <c r="L4" s="105">
        <f>H37</f>
        <v>46717.947451528744</v>
      </c>
      <c r="M4" s="103">
        <v>0</v>
      </c>
      <c r="N4" s="104">
        <f>H37</f>
        <v>46717.947451528744</v>
      </c>
      <c r="O4" s="105">
        <v>0</v>
      </c>
      <c r="P4" s="116">
        <f>H39</f>
        <v>46660.337175088054</v>
      </c>
      <c r="Q4" s="114">
        <v>0</v>
      </c>
      <c r="R4" s="115">
        <f>P4</f>
        <v>46660.337175088054</v>
      </c>
      <c r="S4" s="116">
        <v>0</v>
      </c>
    </row>
    <row r="5" spans="1:19">
      <c r="A5" s="56" t="s">
        <v>88</v>
      </c>
      <c r="B5" s="53" t="s">
        <v>89</v>
      </c>
      <c r="C5" s="54" t="s">
        <v>90</v>
      </c>
      <c r="D5" s="55">
        <f>SUM(B5+C5)</f>
        <v>44875</v>
      </c>
      <c r="E5" s="92">
        <v>-1.33</v>
      </c>
      <c r="F5" s="90">
        <f>D5/1.33</f>
        <v>33740.601503759397</v>
      </c>
      <c r="G5" s="91">
        <f>F5-D5</f>
        <v>-11134.398496240603</v>
      </c>
      <c r="H5" s="78">
        <f>H4*(F5/F4)</f>
        <v>33392.119073841932</v>
      </c>
      <c r="I5" s="81">
        <v>-1.33</v>
      </c>
      <c r="J5" s="80">
        <f t="shared" ref="J5:J10" si="0">H5/1.33</f>
        <v>25106.856446497692</v>
      </c>
      <c r="K5" s="78">
        <f>J5-H5</f>
        <v>-8285.2626273442402</v>
      </c>
      <c r="L5" s="105">
        <f>L4*(J5/J4)</f>
        <v>25052.987723853406</v>
      </c>
      <c r="M5" s="106">
        <v>-1.33</v>
      </c>
      <c r="N5" s="104">
        <f t="shared" ref="N5:N10" si="1">L5/1.33</f>
        <v>18836.832875077747</v>
      </c>
      <c r="O5" s="105">
        <f>N5-L5</f>
        <v>-6216.154848775659</v>
      </c>
      <c r="P5" s="116">
        <f>P4*(N5/N4)</f>
        <v>18813.604218674849</v>
      </c>
      <c r="Q5" s="117">
        <v>-1.33</v>
      </c>
      <c r="R5" s="115">
        <f t="shared" ref="R5:R10" si="2">P5/1.33</f>
        <v>14145.567081710413</v>
      </c>
      <c r="S5" s="116">
        <f>R5-P5</f>
        <v>-4668.0371369644363</v>
      </c>
    </row>
    <row r="6" spans="1:19">
      <c r="A6" s="57" t="s">
        <v>91</v>
      </c>
      <c r="B6" s="53" t="s">
        <v>92</v>
      </c>
      <c r="C6" s="54" t="s">
        <v>93</v>
      </c>
      <c r="D6" s="55">
        <f t="shared" ref="D6:D14" si="3">SUM(B6+C6)</f>
        <v>40002</v>
      </c>
      <c r="E6" s="92">
        <v>-1.33</v>
      </c>
      <c r="F6" s="90">
        <f>D6/1.33</f>
        <v>30076.691729323305</v>
      </c>
      <c r="G6" s="91">
        <f>F6-D6</f>
        <v>-9925.3082706766945</v>
      </c>
      <c r="H6" s="78">
        <f>H4*(F6/F4)</f>
        <v>29766.051190904174</v>
      </c>
      <c r="I6" s="81">
        <v>-1.33</v>
      </c>
      <c r="J6" s="80">
        <f t="shared" si="0"/>
        <v>22380.489617221181</v>
      </c>
      <c r="K6" s="78">
        <f>J6-H6</f>
        <v>-7385.5615736829932</v>
      </c>
      <c r="L6" s="105">
        <f>L4*(J6/J4)</f>
        <v>22332.47052767875</v>
      </c>
      <c r="M6" s="106">
        <v>-1.33</v>
      </c>
      <c r="N6" s="104">
        <f t="shared" si="1"/>
        <v>16791.331223818608</v>
      </c>
      <c r="O6" s="105">
        <f>N6-L6</f>
        <v>-5541.1393038601418</v>
      </c>
      <c r="P6" s="116">
        <f>P4*(N6/N4)</f>
        <v>16770.624979508219</v>
      </c>
      <c r="Q6" s="117">
        <v>-1.33</v>
      </c>
      <c r="R6" s="115">
        <f t="shared" si="2"/>
        <v>12609.492465795653</v>
      </c>
      <c r="S6" s="116">
        <f>R6-P6</f>
        <v>-4161.1325137125659</v>
      </c>
    </row>
    <row r="7" spans="1:19">
      <c r="A7" s="57" t="s">
        <v>94</v>
      </c>
      <c r="B7" s="53" t="s">
        <v>95</v>
      </c>
      <c r="C7" s="54" t="s">
        <v>96</v>
      </c>
      <c r="D7" s="55">
        <f t="shared" si="3"/>
        <v>4873</v>
      </c>
      <c r="E7" s="92">
        <v>-1.33</v>
      </c>
      <c r="F7" s="90">
        <f>D7/1.33</f>
        <v>3663.9097744360902</v>
      </c>
      <c r="G7" s="91">
        <f t="shared" ref="G7:G26" si="4">F7-D7</f>
        <v>-1209.0902255639098</v>
      </c>
      <c r="H7" s="78">
        <f>H4*(F7/F4)</f>
        <v>3626.0678829377543</v>
      </c>
      <c r="I7" s="81">
        <v>-1.33</v>
      </c>
      <c r="J7" s="80">
        <f t="shared" si="0"/>
        <v>2726.3668292765069</v>
      </c>
      <c r="K7" s="78">
        <f t="shared" ref="K7:K14" si="5">J7-H7</f>
        <v>-899.70105366124744</v>
      </c>
      <c r="L7" s="105">
        <f>L4*(J7/J4)</f>
        <v>2720.5171961746555</v>
      </c>
      <c r="M7" s="106">
        <v>-1.33</v>
      </c>
      <c r="N7" s="104">
        <f t="shared" si="1"/>
        <v>2045.5016512591394</v>
      </c>
      <c r="O7" s="105">
        <f t="shared" ref="O7:O12" si="6">N7-L7</f>
        <v>-675.0155449155161</v>
      </c>
      <c r="P7" s="116">
        <f>P4*(N7/N4)</f>
        <v>2042.9792391666308</v>
      </c>
      <c r="Q7" s="117">
        <v>-1.33</v>
      </c>
      <c r="R7" s="115">
        <f t="shared" si="2"/>
        <v>1536.07461591476</v>
      </c>
      <c r="S7" s="116">
        <f t="shared" ref="S7:S12" si="7">R7-P7</f>
        <v>-506.90462325187082</v>
      </c>
    </row>
    <row r="8" spans="1:19" ht="30">
      <c r="A8" s="56" t="s">
        <v>97</v>
      </c>
      <c r="B8" s="53" t="s">
        <v>98</v>
      </c>
      <c r="C8" s="54" t="s">
        <v>99</v>
      </c>
      <c r="D8" s="55">
        <f>SUM(B8+C8)</f>
        <v>59</v>
      </c>
      <c r="E8" s="92">
        <v>-1.33</v>
      </c>
      <c r="F8" s="90">
        <f>59/1.33</f>
        <v>44.360902255639097</v>
      </c>
      <c r="G8" s="91">
        <f t="shared" si="4"/>
        <v>-14.639097744360903</v>
      </c>
      <c r="H8" s="78">
        <f>H4*(F8/F4)</f>
        <v>43.902730370065157</v>
      </c>
      <c r="I8" s="81">
        <v>-1.33</v>
      </c>
      <c r="J8" s="80">
        <f t="shared" si="0"/>
        <v>33.009571706815905</v>
      </c>
      <c r="K8" s="78">
        <f t="shared" si="5"/>
        <v>-10.893158663249253</v>
      </c>
      <c r="L8" s="105">
        <f>L4*(J8/J4)</f>
        <v>32.93874709097161</v>
      </c>
      <c r="M8" s="106">
        <v>-1.33</v>
      </c>
      <c r="N8" s="104">
        <f t="shared" si="1"/>
        <v>24.765975256369629</v>
      </c>
      <c r="O8" s="105">
        <f t="shared" si="6"/>
        <v>-8.1727718346019813</v>
      </c>
      <c r="P8" s="116">
        <f>P4*(N8/N4)</f>
        <v>24.73543507302097</v>
      </c>
      <c r="Q8" s="117">
        <v>-1.33</v>
      </c>
      <c r="R8" s="115">
        <f t="shared" si="2"/>
        <v>18.598071483474413</v>
      </c>
      <c r="S8" s="116">
        <f t="shared" si="7"/>
        <v>-6.1373635895465561</v>
      </c>
    </row>
    <row r="9" spans="1:19">
      <c r="A9" s="57" t="s">
        <v>100</v>
      </c>
      <c r="B9" s="53" t="s">
        <v>98</v>
      </c>
      <c r="C9" s="54" t="s">
        <v>99</v>
      </c>
      <c r="D9" s="55">
        <f t="shared" si="3"/>
        <v>59</v>
      </c>
      <c r="E9" s="92">
        <v>-1.33</v>
      </c>
      <c r="F9" s="90">
        <f>59/1.33</f>
        <v>44.360902255639097</v>
      </c>
      <c r="G9" s="91">
        <f t="shared" si="4"/>
        <v>-14.639097744360903</v>
      </c>
      <c r="H9" s="78">
        <f>H4*(F9/F4)</f>
        <v>43.902730370065157</v>
      </c>
      <c r="I9" s="81">
        <v>-1.33</v>
      </c>
      <c r="J9" s="80">
        <f t="shared" si="0"/>
        <v>33.009571706815905</v>
      </c>
      <c r="K9" s="78">
        <f t="shared" si="5"/>
        <v>-10.893158663249253</v>
      </c>
      <c r="L9" s="105">
        <f>L4*(J9/J4)</f>
        <v>32.93874709097161</v>
      </c>
      <c r="M9" s="106">
        <v>-1.33</v>
      </c>
      <c r="N9" s="104">
        <f t="shared" si="1"/>
        <v>24.765975256369629</v>
      </c>
      <c r="O9" s="105">
        <f t="shared" si="6"/>
        <v>-8.1727718346019813</v>
      </c>
      <c r="P9" s="116">
        <f>P4*(N9/N4)</f>
        <v>24.73543507302097</v>
      </c>
      <c r="Q9" s="117">
        <v>-1.33</v>
      </c>
      <c r="R9" s="115">
        <f t="shared" si="2"/>
        <v>18.598071483474413</v>
      </c>
      <c r="S9" s="116">
        <f t="shared" si="7"/>
        <v>-6.1373635895465561</v>
      </c>
    </row>
    <row r="10" spans="1:19">
      <c r="A10" s="56" t="s">
        <v>101</v>
      </c>
      <c r="B10" s="53" t="s">
        <v>102</v>
      </c>
      <c r="C10" s="54" t="s">
        <v>103</v>
      </c>
      <c r="D10" s="55">
        <f t="shared" si="3"/>
        <v>16</v>
      </c>
      <c r="E10" s="92">
        <v>-1.33</v>
      </c>
      <c r="F10" s="90">
        <f>16/1.33</f>
        <v>12.030075187969924</v>
      </c>
      <c r="G10" s="91">
        <f t="shared" si="4"/>
        <v>-3.9699248120300759</v>
      </c>
      <c r="H10" s="78">
        <f>H4*(F10/F4)</f>
        <v>11.905825185102415</v>
      </c>
      <c r="I10" s="81">
        <v>-1.33</v>
      </c>
      <c r="J10" s="80">
        <f t="shared" si="0"/>
        <v>8.9517482594754991</v>
      </c>
      <c r="K10" s="78">
        <f t="shared" si="5"/>
        <v>-2.9540769256269162</v>
      </c>
      <c r="L10" s="105">
        <f>L4*(J10/J4)</f>
        <v>8.9325415839923004</v>
      </c>
      <c r="M10" s="106">
        <v>-1.33</v>
      </c>
      <c r="N10" s="104">
        <f t="shared" si="1"/>
        <v>6.7161966796934589</v>
      </c>
      <c r="O10" s="105">
        <f t="shared" si="6"/>
        <v>-2.2163449042988415</v>
      </c>
      <c r="P10" s="116">
        <f>P4*(N10/N4)</f>
        <v>6.7079145960734836</v>
      </c>
      <c r="Q10" s="117">
        <v>-1.33</v>
      </c>
      <c r="R10" s="115">
        <f t="shared" si="2"/>
        <v>5.0435448090778072</v>
      </c>
      <c r="S10" s="116">
        <f t="shared" si="7"/>
        <v>-1.6643697869956764</v>
      </c>
    </row>
    <row r="11" spans="1:19">
      <c r="A11" s="128" t="s">
        <v>104</v>
      </c>
      <c r="B11" s="129" t="s">
        <v>105</v>
      </c>
      <c r="C11" s="130" t="s">
        <v>106</v>
      </c>
      <c r="D11" s="131">
        <f t="shared" si="3"/>
        <v>129</v>
      </c>
      <c r="E11" s="132">
        <v>1.33</v>
      </c>
      <c r="F11" s="133">
        <f>129*1.33</f>
        <v>171.57000000000002</v>
      </c>
      <c r="G11" s="134">
        <f t="shared" si="4"/>
        <v>42.570000000000022</v>
      </c>
      <c r="H11" s="134">
        <f>H4*(F11/F4)</f>
        <v>169.79797674504181</v>
      </c>
      <c r="I11" s="132">
        <v>1.33</v>
      </c>
      <c r="J11" s="133">
        <f>H11*1.33</f>
        <v>225.8313090709056</v>
      </c>
      <c r="K11" s="134">
        <f t="shared" si="5"/>
        <v>56.033332325863796</v>
      </c>
      <c r="L11" s="134">
        <f>L4*(J11/J4)</f>
        <v>225.34677034823997</v>
      </c>
      <c r="M11" s="132">
        <v>1.33</v>
      </c>
      <c r="N11" s="133">
        <f>L11*1.33</f>
        <v>299.71120456315919</v>
      </c>
      <c r="O11" s="134">
        <f t="shared" si="6"/>
        <v>74.364434214919214</v>
      </c>
      <c r="P11" s="134">
        <f>P4*(N11/N4)</f>
        <v>299.34161543758449</v>
      </c>
      <c r="Q11" s="132">
        <v>1.33</v>
      </c>
      <c r="R11" s="133">
        <f>P11*1.33</f>
        <v>398.12434853198738</v>
      </c>
      <c r="S11" s="134">
        <f t="shared" si="7"/>
        <v>98.782733094402886</v>
      </c>
    </row>
    <row r="12" spans="1:19">
      <c r="A12" s="128" t="s">
        <v>107</v>
      </c>
      <c r="B12" s="129" t="s">
        <v>108</v>
      </c>
      <c r="C12" s="130" t="s">
        <v>109</v>
      </c>
      <c r="D12" s="131">
        <f t="shared" si="3"/>
        <v>465</v>
      </c>
      <c r="E12" s="132">
        <v>1.33</v>
      </c>
      <c r="F12" s="133">
        <f>465*1.33</f>
        <v>618.45000000000005</v>
      </c>
      <c r="G12" s="134">
        <f t="shared" si="4"/>
        <v>153.45000000000005</v>
      </c>
      <c r="H12" s="134">
        <f>H4*(F12/F4)</f>
        <v>612.06247431352267</v>
      </c>
      <c r="I12" s="132">
        <v>1.33</v>
      </c>
      <c r="J12" s="133">
        <f>H12*1.33</f>
        <v>814.04309083698524</v>
      </c>
      <c r="K12" s="134">
        <f t="shared" si="5"/>
        <v>201.98061652346257</v>
      </c>
      <c r="L12" s="134">
        <f>L4*(J12/J4)</f>
        <v>812.29649776691133</v>
      </c>
      <c r="M12" s="132">
        <v>1.33</v>
      </c>
      <c r="N12" s="133">
        <f>L12*1.33</f>
        <v>1080.354342029992</v>
      </c>
      <c r="O12" s="134">
        <f t="shared" si="6"/>
        <v>268.05784426308071</v>
      </c>
      <c r="P12" s="134">
        <f>P4*(N12/N4)</f>
        <v>1079.0221021587342</v>
      </c>
      <c r="Q12" s="132">
        <v>1.33</v>
      </c>
      <c r="R12" s="133">
        <f>P12*1.33</f>
        <v>1435.0993958711167</v>
      </c>
      <c r="S12" s="134">
        <f t="shared" si="7"/>
        <v>356.07729371238247</v>
      </c>
    </row>
    <row r="13" spans="1:19">
      <c r="A13" s="56" t="s">
        <v>110</v>
      </c>
      <c r="B13" s="53" t="s">
        <v>111</v>
      </c>
      <c r="C13" s="54" t="s">
        <v>112</v>
      </c>
      <c r="D13" s="55">
        <f t="shared" si="3"/>
        <v>115</v>
      </c>
      <c r="E13" s="92">
        <v>1.33</v>
      </c>
      <c r="F13" s="90">
        <f>115*1.33</f>
        <v>152.95000000000002</v>
      </c>
      <c r="G13" s="91">
        <f t="shared" si="4"/>
        <v>37.950000000000017</v>
      </c>
      <c r="H13" s="78">
        <f>H4*(F13/F4)</f>
        <v>151.37028934635509</v>
      </c>
      <c r="I13" s="81">
        <v>1.33</v>
      </c>
      <c r="J13" s="80">
        <f>H13*1.33</f>
        <v>201.32248483065229</v>
      </c>
      <c r="K13" s="78">
        <f>J13-H13</f>
        <v>49.952195484297192</v>
      </c>
      <c r="L13" s="105">
        <f>L4*(J13/J4)</f>
        <v>200.89053170579533</v>
      </c>
      <c r="M13" s="106">
        <v>1.33</v>
      </c>
      <c r="N13" s="104">
        <f>L13*1.33</f>
        <v>267.18440716870782</v>
      </c>
      <c r="O13" s="105">
        <f>N13-L13</f>
        <v>66.293875462912496</v>
      </c>
      <c r="P13" s="116">
        <f>P4*(N13/N4)</f>
        <v>266.8549284908699</v>
      </c>
      <c r="Q13" s="117">
        <v>1.33</v>
      </c>
      <c r="R13" s="115">
        <f>P13*1.33</f>
        <v>354.91705489285698</v>
      </c>
      <c r="S13" s="116">
        <f>R13-P13</f>
        <v>88.062126401987086</v>
      </c>
    </row>
    <row r="14" spans="1:19">
      <c r="A14" s="56" t="s">
        <v>113</v>
      </c>
      <c r="B14" s="53" t="s">
        <v>114</v>
      </c>
      <c r="C14" s="54" t="s">
        <v>115</v>
      </c>
      <c r="D14" s="55">
        <f t="shared" si="3"/>
        <v>1621</v>
      </c>
      <c r="E14" s="92">
        <v>0</v>
      </c>
      <c r="F14" s="90">
        <v>1621</v>
      </c>
      <c r="G14" s="91">
        <f t="shared" si="4"/>
        <v>0</v>
      </c>
      <c r="H14" s="78">
        <f>H4*(F14/F4)</f>
        <v>1604.2578557073659</v>
      </c>
      <c r="I14" s="81">
        <v>0</v>
      </c>
      <c r="J14" s="80">
        <f>H14</f>
        <v>1604.2578557073659</v>
      </c>
      <c r="K14" s="78">
        <f t="shared" si="5"/>
        <v>0</v>
      </c>
      <c r="L14" s="105">
        <f>L4*(J14/J4)</f>
        <v>1600.8157951027988</v>
      </c>
      <c r="M14" s="106">
        <v>0</v>
      </c>
      <c r="N14" s="104">
        <f>L14</f>
        <v>1600.8157951027988</v>
      </c>
      <c r="O14" s="105">
        <f t="shared" ref="O14" si="8">N14-L14</f>
        <v>0</v>
      </c>
      <c r="P14" s="116">
        <f>P4*(N14/N4)</f>
        <v>1598.8417477501796</v>
      </c>
      <c r="Q14" s="117">
        <v>0</v>
      </c>
      <c r="R14" s="115">
        <f>P14</f>
        <v>1598.8417477501796</v>
      </c>
      <c r="S14" s="116">
        <f t="shared" ref="S14" si="9">R14-P14</f>
        <v>0</v>
      </c>
    </row>
    <row r="15" spans="1:19">
      <c r="A15" s="52"/>
      <c r="B15" s="53"/>
      <c r="C15" s="54"/>
      <c r="D15" s="55"/>
      <c r="E15" s="92"/>
      <c r="F15" s="93"/>
      <c r="G15" s="94"/>
      <c r="H15" s="78"/>
      <c r="I15" s="81"/>
      <c r="J15" s="80"/>
      <c r="K15" s="78"/>
      <c r="L15" s="105"/>
      <c r="M15" s="106"/>
      <c r="N15" s="104"/>
      <c r="O15" s="105"/>
      <c r="P15" s="116"/>
      <c r="Q15" s="117"/>
      <c r="R15" s="115"/>
      <c r="S15" s="116"/>
    </row>
    <row r="16" spans="1:19">
      <c r="A16" s="52"/>
      <c r="B16" s="53"/>
      <c r="C16" s="54"/>
      <c r="D16" s="55"/>
      <c r="E16" s="89"/>
      <c r="F16" s="93"/>
      <c r="G16" s="94"/>
      <c r="H16" s="78"/>
      <c r="I16" s="79"/>
      <c r="J16" s="80"/>
      <c r="K16" s="78"/>
      <c r="L16" s="105"/>
      <c r="M16" s="103"/>
      <c r="N16" s="104"/>
      <c r="O16" s="105"/>
      <c r="P16" s="116"/>
      <c r="Q16" s="114"/>
      <c r="R16" s="115"/>
      <c r="S16" s="116"/>
    </row>
    <row r="17" spans="1:19">
      <c r="A17" s="56" t="s">
        <v>88</v>
      </c>
      <c r="B17" s="58">
        <f>B5/B$4</f>
        <v>0.95380390890001621</v>
      </c>
      <c r="C17" s="59">
        <f>C5/C$4</f>
        <v>0.9387230919765166</v>
      </c>
      <c r="D17" s="60">
        <f>D5/D4</f>
        <v>0.94859111759359083</v>
      </c>
      <c r="E17" s="92">
        <v>-1.33</v>
      </c>
      <c r="F17" s="95">
        <f t="shared" ref="F17:F25" si="10">F5/47307</f>
        <v>0.71322640420570738</v>
      </c>
      <c r="G17" s="96">
        <f t="shared" si="4"/>
        <v>-0.23536471338788345</v>
      </c>
      <c r="H17" s="82">
        <f>H5/H4</f>
        <v>0.71322640420570738</v>
      </c>
      <c r="I17" s="122">
        <v>-1.33</v>
      </c>
      <c r="J17" s="83">
        <f>J5/J4</f>
        <v>0.53626045429000546</v>
      </c>
      <c r="K17" s="82">
        <f>J17-H17</f>
        <v>-0.17696594991570191</v>
      </c>
      <c r="L17" s="107">
        <f>L5/L4</f>
        <v>0.53626045429000546</v>
      </c>
      <c r="M17" s="123">
        <v>-1.33</v>
      </c>
      <c r="N17" s="108">
        <f>N5/N4</f>
        <v>0.40320334909022965</v>
      </c>
      <c r="O17" s="107">
        <f>N17-L17</f>
        <v>-0.13305710519977582</v>
      </c>
      <c r="P17" s="118">
        <f>P5/P4</f>
        <v>0.40320334909022965</v>
      </c>
      <c r="Q17" s="124">
        <v>-1.33</v>
      </c>
      <c r="R17" s="119">
        <f>R5/R4</f>
        <v>0.30316041284979672</v>
      </c>
      <c r="S17" s="118">
        <f>R17-P17</f>
        <v>-0.10004293624043292</v>
      </c>
    </row>
    <row r="18" spans="1:19">
      <c r="A18" s="57" t="s">
        <v>91</v>
      </c>
      <c r="B18" s="58">
        <f t="shared" ref="B18:C25" si="11">B6/B$4</f>
        <v>0.84710062994669677</v>
      </c>
      <c r="C18" s="59">
        <f t="shared" si="11"/>
        <v>0.84271037181996089</v>
      </c>
      <c r="D18" s="60">
        <f>D6/D4</f>
        <v>0.84558310609423548</v>
      </c>
      <c r="E18" s="92">
        <v>-1.33</v>
      </c>
      <c r="F18" s="95">
        <f t="shared" si="10"/>
        <v>0.63577677149942513</v>
      </c>
      <c r="G18" s="96">
        <f t="shared" si="4"/>
        <v>-0.20980633459481035</v>
      </c>
      <c r="H18" s="82">
        <f>H6/H4</f>
        <v>0.63577677149942513</v>
      </c>
      <c r="I18" s="122">
        <v>-1.33</v>
      </c>
      <c r="J18" s="83">
        <f>J6/J4</f>
        <v>0.47802764774392864</v>
      </c>
      <c r="K18" s="82">
        <f t="shared" ref="K18:K24" si="12">J18-H18</f>
        <v>-0.15774912375549649</v>
      </c>
      <c r="L18" s="107">
        <f>L6/L4</f>
        <v>0.47802764774392864</v>
      </c>
      <c r="M18" s="123">
        <v>-1.33</v>
      </c>
      <c r="N18" s="108">
        <f>N6/N4</f>
        <v>0.35941928401799145</v>
      </c>
      <c r="O18" s="107">
        <f t="shared" ref="O18:O24" si="13">N18-L18</f>
        <v>-0.11860836372593719</v>
      </c>
      <c r="P18" s="118">
        <f>P6/P4</f>
        <v>0.35941928401799145</v>
      </c>
      <c r="Q18" s="124">
        <v>-1.33</v>
      </c>
      <c r="R18" s="119">
        <f>R6/R4</f>
        <v>0.27024006317142213</v>
      </c>
      <c r="S18" s="118">
        <f t="shared" ref="S18:S24" si="14">R18-P18</f>
        <v>-8.9179220846569318E-2</v>
      </c>
    </row>
    <row r="19" spans="1:19">
      <c r="A19" s="57" t="s">
        <v>94</v>
      </c>
      <c r="B19" s="58">
        <f t="shared" si="11"/>
        <v>0.10670327895331934</v>
      </c>
      <c r="C19" s="59">
        <f t="shared" si="11"/>
        <v>9.6012720156555778E-2</v>
      </c>
      <c r="D19" s="60">
        <f>D7/D4</f>
        <v>0.10300801149935528</v>
      </c>
      <c r="E19" s="92">
        <v>-1.33</v>
      </c>
      <c r="F19" s="95">
        <f t="shared" si="10"/>
        <v>7.7449632706282162E-2</v>
      </c>
      <c r="G19" s="96">
        <f t="shared" si="4"/>
        <v>-2.5558378793073114E-2</v>
      </c>
      <c r="H19" s="82">
        <f>H7/H4</f>
        <v>7.7449632706282162E-2</v>
      </c>
      <c r="I19" s="122">
        <v>-1.33</v>
      </c>
      <c r="J19" s="83">
        <f>J7/J4</f>
        <v>5.8232806546076807E-2</v>
      </c>
      <c r="K19" s="82">
        <f t="shared" si="12"/>
        <v>-1.9216826160205355E-2</v>
      </c>
      <c r="L19" s="107">
        <f>L7/L4</f>
        <v>5.8232806546076814E-2</v>
      </c>
      <c r="M19" s="123">
        <v>-1.33</v>
      </c>
      <c r="N19" s="108">
        <f>N7/N4</f>
        <v>4.3784065072238205E-2</v>
      </c>
      <c r="O19" s="107">
        <f t="shared" si="13"/>
        <v>-1.4448741473838608E-2</v>
      </c>
      <c r="P19" s="118">
        <f>P7/P4</f>
        <v>4.3784065072238205E-2</v>
      </c>
      <c r="Q19" s="124">
        <v>-1.33</v>
      </c>
      <c r="R19" s="119">
        <f>R7/R4</f>
        <v>3.2920349678374594E-2</v>
      </c>
      <c r="S19" s="118">
        <f t="shared" si="14"/>
        <v>-1.0863715393863611E-2</v>
      </c>
    </row>
    <row r="20" spans="1:19" ht="30">
      <c r="A20" s="56" t="s">
        <v>97</v>
      </c>
      <c r="B20" s="58">
        <f t="shared" si="11"/>
        <v>1.5829429817476983E-3</v>
      </c>
      <c r="C20" s="59">
        <f t="shared" si="11"/>
        <v>6.1154598825831699E-4</v>
      </c>
      <c r="D20" s="60">
        <f>D8/D4</f>
        <v>1.2471727228528548E-3</v>
      </c>
      <c r="E20" s="92">
        <v>-1.33</v>
      </c>
      <c r="F20" s="95">
        <f t="shared" si="10"/>
        <v>9.3772385176906371E-4</v>
      </c>
      <c r="G20" s="96">
        <f t="shared" si="4"/>
        <v>-3.0944887108379107E-4</v>
      </c>
      <c r="H20" s="82">
        <f>H8/H4</f>
        <v>9.3772385176906371E-4</v>
      </c>
      <c r="I20" s="122">
        <v>-1.33</v>
      </c>
      <c r="J20" s="83">
        <f>J8/J4</f>
        <v>7.0505552764591254E-4</v>
      </c>
      <c r="K20" s="82">
        <f t="shared" si="12"/>
        <v>-2.3266832412315117E-4</v>
      </c>
      <c r="L20" s="107">
        <f>L8/L4</f>
        <v>7.0505552764591243E-4</v>
      </c>
      <c r="M20" s="123">
        <v>-1.33</v>
      </c>
      <c r="N20" s="108">
        <f>N8/N4</f>
        <v>5.3011693807963336E-4</v>
      </c>
      <c r="O20" s="107">
        <f t="shared" si="13"/>
        <v>-1.7493858956627907E-4</v>
      </c>
      <c r="P20" s="118">
        <f>P8/P4</f>
        <v>5.3011693807963336E-4</v>
      </c>
      <c r="Q20" s="124">
        <v>-1.33</v>
      </c>
      <c r="R20" s="119">
        <f>R8/R4</f>
        <v>3.9858416396964917E-4</v>
      </c>
      <c r="S20" s="118">
        <f t="shared" si="14"/>
        <v>-1.3153277410998419E-4</v>
      </c>
    </row>
    <row r="21" spans="1:19">
      <c r="A21" s="57" t="s">
        <v>100</v>
      </c>
      <c r="B21" s="58">
        <f t="shared" si="11"/>
        <v>1.5829429817476983E-3</v>
      </c>
      <c r="C21" s="59">
        <f t="shared" si="11"/>
        <v>6.1154598825831699E-4</v>
      </c>
      <c r="D21" s="60">
        <f t="shared" ref="D21:D26" si="15">D9/47307</f>
        <v>1.2471727228528548E-3</v>
      </c>
      <c r="E21" s="92">
        <v>-1.33</v>
      </c>
      <c r="F21" s="95">
        <f t="shared" si="10"/>
        <v>9.3772385176906371E-4</v>
      </c>
      <c r="G21" s="96">
        <f t="shared" si="4"/>
        <v>-3.0944887108379107E-4</v>
      </c>
      <c r="H21" s="82">
        <f t="shared" ref="H21:H26" si="16">H9/47307</f>
        <v>9.2803877586964203E-4</v>
      </c>
      <c r="I21" s="122">
        <v>-1.33</v>
      </c>
      <c r="J21" s="83">
        <f>J9/J4</f>
        <v>7.0505552764591254E-4</v>
      </c>
      <c r="K21" s="82">
        <f t="shared" si="12"/>
        <v>-2.229832482237295E-4</v>
      </c>
      <c r="L21" s="107">
        <f t="shared" ref="L21:L26" si="17">L9/47307</f>
        <v>6.9627638808150184E-4</v>
      </c>
      <c r="M21" s="123">
        <v>-1.33</v>
      </c>
      <c r="N21" s="108">
        <f>N9/N4</f>
        <v>5.3011693807963336E-4</v>
      </c>
      <c r="O21" s="107">
        <f t="shared" si="13"/>
        <v>-1.6615945000186848E-4</v>
      </c>
      <c r="P21" s="118">
        <f t="shared" ref="P21:P26" si="18">P9/47307</f>
        <v>5.2287050696558587E-4</v>
      </c>
      <c r="Q21" s="124">
        <v>-1.33</v>
      </c>
      <c r="R21" s="119">
        <f>R9/R4</f>
        <v>3.9858416396964917E-4</v>
      </c>
      <c r="S21" s="118">
        <f t="shared" si="14"/>
        <v>-1.242863429959367E-4</v>
      </c>
    </row>
    <row r="22" spans="1:19">
      <c r="A22" s="56" t="s">
        <v>101</v>
      </c>
      <c r="B22" s="58">
        <f t="shared" si="11"/>
        <v>2.9074462930059764E-4</v>
      </c>
      <c r="C22" s="59">
        <f t="shared" si="11"/>
        <v>4.2808219178082189E-4</v>
      </c>
      <c r="D22" s="60">
        <f t="shared" si="15"/>
        <v>3.3821633162111318E-4</v>
      </c>
      <c r="E22" s="92">
        <v>-1.33</v>
      </c>
      <c r="F22" s="95">
        <f t="shared" si="10"/>
        <v>2.5429799370008506E-4</v>
      </c>
      <c r="G22" s="96">
        <f t="shared" si="4"/>
        <v>-8.391833792102812E-5</v>
      </c>
      <c r="H22" s="82">
        <f t="shared" si="16"/>
        <v>2.5167153243922495E-4</v>
      </c>
      <c r="I22" s="122">
        <v>-1.33</v>
      </c>
      <c r="J22" s="83">
        <f>J10/J4</f>
        <v>1.9120149902262032E-4</v>
      </c>
      <c r="K22" s="82">
        <f t="shared" si="12"/>
        <v>-6.047003341660463E-5</v>
      </c>
      <c r="L22" s="107">
        <f t="shared" si="17"/>
        <v>1.8882071541193271E-4</v>
      </c>
      <c r="M22" s="123">
        <v>-1.33</v>
      </c>
      <c r="N22" s="108">
        <f>N10/N4</f>
        <v>1.4376052558091754E-4</v>
      </c>
      <c r="O22" s="107">
        <f t="shared" si="13"/>
        <v>-4.5060189831015171E-5</v>
      </c>
      <c r="P22" s="118">
        <f t="shared" si="18"/>
        <v>1.4179539171948092E-4</v>
      </c>
      <c r="Q22" s="124">
        <v>-1.33</v>
      </c>
      <c r="R22" s="119">
        <f>R10/R4</f>
        <v>1.0809062073753198E-4</v>
      </c>
      <c r="S22" s="118">
        <f t="shared" si="14"/>
        <v>-3.3704770981948939E-5</v>
      </c>
    </row>
    <row r="23" spans="1:19">
      <c r="A23" s="56" t="s">
        <v>104</v>
      </c>
      <c r="B23" s="58">
        <f t="shared" si="11"/>
        <v>1.9059925698594734E-3</v>
      </c>
      <c r="C23" s="59">
        <f t="shared" si="11"/>
        <v>4.2808219178082189E-3</v>
      </c>
      <c r="D23" s="60">
        <f t="shared" si="15"/>
        <v>2.7268691736952247E-3</v>
      </c>
      <c r="E23" s="92">
        <v>1.33</v>
      </c>
      <c r="F23" s="95">
        <f t="shared" si="10"/>
        <v>3.6267360010146495E-3</v>
      </c>
      <c r="G23" s="96">
        <f t="shared" si="4"/>
        <v>8.9986682731942481E-4</v>
      </c>
      <c r="H23" s="82">
        <f t="shared" si="16"/>
        <v>3.5892780507121949E-3</v>
      </c>
      <c r="I23" s="122">
        <v>1.33</v>
      </c>
      <c r="J23" s="83">
        <f>J11/J4</f>
        <v>4.8235588813494842E-3</v>
      </c>
      <c r="K23" s="82">
        <f t="shared" si="12"/>
        <v>1.2342808306372893E-3</v>
      </c>
      <c r="L23" s="107">
        <f t="shared" si="17"/>
        <v>4.7634973756154478E-3</v>
      </c>
      <c r="M23" s="123">
        <v>1.33</v>
      </c>
      <c r="N23" s="108">
        <f>N11/N4</f>
        <v>6.4153333121948148E-3</v>
      </c>
      <c r="O23" s="107">
        <f t="shared" si="13"/>
        <v>1.6518359365793669E-3</v>
      </c>
      <c r="P23" s="118">
        <f t="shared" si="18"/>
        <v>6.3276389421773631E-3</v>
      </c>
      <c r="Q23" s="124">
        <v>1.33</v>
      </c>
      <c r="R23" s="119">
        <f>R11/R4</f>
        <v>8.5323933052191044E-3</v>
      </c>
      <c r="S23" s="118">
        <f t="shared" si="14"/>
        <v>2.2047543630417414E-3</v>
      </c>
    </row>
    <row r="24" spans="1:19">
      <c r="A24" s="56" t="s">
        <v>107</v>
      </c>
      <c r="B24" s="58">
        <f t="shared" si="11"/>
        <v>8.9484735906961727E-3</v>
      </c>
      <c r="C24" s="59">
        <f t="shared" si="11"/>
        <v>1.1497064579256359E-2</v>
      </c>
      <c r="D24" s="60">
        <f t="shared" si="15"/>
        <v>9.829412137738601E-3</v>
      </c>
      <c r="E24" s="92">
        <v>1.33</v>
      </c>
      <c r="F24" s="95">
        <f t="shared" si="10"/>
        <v>1.307311814319234E-2</v>
      </c>
      <c r="G24" s="96">
        <f t="shared" si="4"/>
        <v>3.2437060054537389E-3</v>
      </c>
      <c r="H24" s="82">
        <f t="shared" si="16"/>
        <v>1.293809529907884E-2</v>
      </c>
      <c r="I24" s="122">
        <v>1.33</v>
      </c>
      <c r="J24" s="83">
        <f>J12/J4</f>
        <v>1.7387247130445812E-2</v>
      </c>
      <c r="K24" s="82">
        <f t="shared" si="12"/>
        <v>4.4491518313669719E-3</v>
      </c>
      <c r="L24" s="107">
        <f t="shared" si="17"/>
        <v>1.7170746353962655E-2</v>
      </c>
      <c r="M24" s="123">
        <v>1.33</v>
      </c>
      <c r="N24" s="108">
        <f>N12/N4</f>
        <v>2.3125038683492926E-2</v>
      </c>
      <c r="O24" s="107">
        <f t="shared" si="13"/>
        <v>5.954292329530271E-3</v>
      </c>
      <c r="P24" s="118">
        <f t="shared" si="18"/>
        <v>2.2808931070639318E-2</v>
      </c>
      <c r="Q24" s="124">
        <v>1.33</v>
      </c>
      <c r="R24" s="119">
        <f>R12/R4</f>
        <v>3.0756301449045592E-2</v>
      </c>
      <c r="S24" s="118">
        <f t="shared" si="14"/>
        <v>7.9473703784062738E-3</v>
      </c>
    </row>
    <row r="25" spans="1:19">
      <c r="A25" s="56" t="s">
        <v>110</v>
      </c>
      <c r="B25" s="58">
        <f t="shared" si="11"/>
        <v>3.2951057987401066E-3</v>
      </c>
      <c r="C25" s="59">
        <f t="shared" si="11"/>
        <v>7.9500978473581209E-4</v>
      </c>
      <c r="D25" s="60">
        <f t="shared" si="15"/>
        <v>2.430929883526751E-3</v>
      </c>
      <c r="E25" s="92">
        <v>1.33</v>
      </c>
      <c r="F25" s="95">
        <f t="shared" si="10"/>
        <v>3.2331367450905788E-3</v>
      </c>
      <c r="G25" s="96">
        <f>F25-D25</f>
        <v>8.0220686156382785E-4</v>
      </c>
      <c r="H25" s="82">
        <f t="shared" si="16"/>
        <v>3.1997439986969178E-3</v>
      </c>
      <c r="I25" s="122">
        <v>1.33</v>
      </c>
      <c r="J25" s="83">
        <f>J13/J4</f>
        <v>4.3000718709704702E-3</v>
      </c>
      <c r="K25" s="82">
        <f>J25-H25</f>
        <v>1.1003278722735523E-3</v>
      </c>
      <c r="L25" s="107">
        <f t="shared" si="17"/>
        <v>4.2465286681843137E-3</v>
      </c>
      <c r="M25" s="123">
        <v>1.33</v>
      </c>
      <c r="N25" s="108">
        <f>N13/N4</f>
        <v>5.7190955883907263E-3</v>
      </c>
      <c r="O25" s="107">
        <f>N25-L25</f>
        <v>1.4725669202064126E-3</v>
      </c>
      <c r="P25" s="118">
        <f t="shared" si="18"/>
        <v>5.6409184368247803E-3</v>
      </c>
      <c r="Q25" s="124">
        <v>1.33</v>
      </c>
      <c r="R25" s="119">
        <f>R13/R4</f>
        <v>7.6063971325596664E-3</v>
      </c>
      <c r="S25" s="118">
        <f>R25-P25</f>
        <v>1.965478695734886E-3</v>
      </c>
    </row>
    <row r="26" spans="1:19" ht="15.75" thickBot="1">
      <c r="A26" s="56" t="s">
        <v>113</v>
      </c>
      <c r="B26" s="61">
        <f>B14/B$4</f>
        <v>2.9300597641738008E-2</v>
      </c>
      <c r="C26" s="62">
        <f>C14/C$4</f>
        <v>4.3664383561643837E-2</v>
      </c>
      <c r="D26" s="63">
        <f t="shared" si="15"/>
        <v>3.426554209736403E-2</v>
      </c>
      <c r="E26" s="97">
        <v>0</v>
      </c>
      <c r="F26" s="98">
        <v>3.426554209736403E-2</v>
      </c>
      <c r="G26" s="99">
        <f t="shared" si="4"/>
        <v>0</v>
      </c>
      <c r="H26" s="84">
        <f t="shared" si="16"/>
        <v>3.3911637933231147E-2</v>
      </c>
      <c r="I26" s="125">
        <v>0</v>
      </c>
      <c r="J26" s="85">
        <f>H26</f>
        <v>3.3911637933231147E-2</v>
      </c>
      <c r="K26" s="84">
        <f>J26-H26</f>
        <v>0</v>
      </c>
      <c r="L26" s="109">
        <f t="shared" si="17"/>
        <v>3.3838877863800257E-2</v>
      </c>
      <c r="M26" s="126">
        <v>0</v>
      </c>
      <c r="N26" s="110">
        <f>L26</f>
        <v>3.3838877863800257E-2</v>
      </c>
      <c r="O26" s="109">
        <f>N26-L26</f>
        <v>0</v>
      </c>
      <c r="P26" s="120">
        <f t="shared" si="18"/>
        <v>3.3797149422922182E-2</v>
      </c>
      <c r="Q26" s="127">
        <v>0</v>
      </c>
      <c r="R26" s="121">
        <f>P26</f>
        <v>3.3797149422922182E-2</v>
      </c>
      <c r="S26" s="120">
        <f>R26-P26</f>
        <v>0</v>
      </c>
    </row>
    <row r="28" spans="1:19">
      <c r="H28" s="74">
        <f>SUM(H8:H14,H5)</f>
        <v>36029.318955879447</v>
      </c>
      <c r="J28" s="74">
        <f>SUM(J8:J14,J5)</f>
        <v>28027.282078616707</v>
      </c>
    </row>
    <row r="30" spans="1:19">
      <c r="B30" s="47"/>
      <c r="C30" s="47"/>
      <c r="D30" s="47"/>
      <c r="E30" s="47"/>
      <c r="F30" s="47"/>
      <c r="G30" s="47"/>
    </row>
    <row r="31" spans="1:19" ht="15.75" thickBot="1">
      <c r="B31" s="47"/>
      <c r="C31" s="47"/>
      <c r="D31" s="47"/>
      <c r="E31" s="47"/>
      <c r="F31" s="47"/>
      <c r="G31" s="47"/>
    </row>
    <row r="32" spans="1:19" ht="16.5" thickBot="1">
      <c r="B32" s="47"/>
      <c r="C32" s="64" t="s">
        <v>9</v>
      </c>
      <c r="D32" s="65" t="s">
        <v>116</v>
      </c>
      <c r="E32" s="64" t="s">
        <v>117</v>
      </c>
      <c r="F32" s="66" t="s">
        <v>118</v>
      </c>
      <c r="G32" s="66" t="s">
        <v>119</v>
      </c>
      <c r="H32" s="66" t="s">
        <v>134</v>
      </c>
    </row>
    <row r="33" spans="2:8" ht="15.75" thickBot="1">
      <c r="B33" s="47"/>
      <c r="C33" s="67">
        <v>2020</v>
      </c>
      <c r="D33" s="68" t="s">
        <v>120</v>
      </c>
      <c r="E33" s="67" t="s">
        <v>121</v>
      </c>
      <c r="F33" s="73">
        <f>71345*43.3877636835097%</f>
        <v>30954.999999999993</v>
      </c>
      <c r="G33" s="72">
        <f>37187*43.972355930836%</f>
        <v>16351.999999999985</v>
      </c>
      <c r="H33" s="74">
        <v>47306.999999999978</v>
      </c>
    </row>
    <row r="34" spans="2:8" ht="15.75" thickBot="1">
      <c r="B34" s="47"/>
      <c r="C34" s="67">
        <v>2025</v>
      </c>
      <c r="D34" s="68" t="s">
        <v>122</v>
      </c>
      <c r="E34" s="67" t="s">
        <v>123</v>
      </c>
      <c r="F34" s="47">
        <f>71074*0.43</f>
        <v>30561.82</v>
      </c>
      <c r="G34" s="47">
        <f>36970*43.972355930836%</f>
        <v>16256.579987630072</v>
      </c>
      <c r="H34" s="74">
        <v>46818.399987630073</v>
      </c>
    </row>
    <row r="35" spans="2:8" ht="15.75" thickBot="1">
      <c r="B35" s="47"/>
      <c r="C35" s="67">
        <v>2030</v>
      </c>
      <c r="D35" s="68" t="s">
        <v>124</v>
      </c>
      <c r="E35" s="67" t="s">
        <v>125</v>
      </c>
      <c r="F35" s="72">
        <f>71006*0.43</f>
        <v>30532.579999999998</v>
      </c>
      <c r="G35" s="72">
        <f>36947*43.972355930836%</f>
        <v>16246.466345765979</v>
      </c>
      <c r="H35" s="74">
        <v>46779.046345765979</v>
      </c>
    </row>
    <row r="36" spans="2:8" ht="15.75" thickBot="1">
      <c r="B36" s="47"/>
      <c r="C36" s="67">
        <v>2035</v>
      </c>
      <c r="D36" s="68" t="s">
        <v>126</v>
      </c>
      <c r="E36" s="67" t="s">
        <v>127</v>
      </c>
      <c r="F36" s="47">
        <f>70937*0.43</f>
        <v>30502.91</v>
      </c>
      <c r="G36" s="47">
        <f>36945*43.972355930836%</f>
        <v>16245.586898647362</v>
      </c>
      <c r="H36" s="74">
        <v>46748.496898647361</v>
      </c>
    </row>
    <row r="37" spans="2:8" ht="15.75" thickBot="1">
      <c r="B37" s="47"/>
      <c r="C37" s="67">
        <v>2040</v>
      </c>
      <c r="D37" s="68" t="s">
        <v>128</v>
      </c>
      <c r="E37" s="67" t="s">
        <v>129</v>
      </c>
      <c r="F37" s="72">
        <f>70868*0.43</f>
        <v>30473.239999999998</v>
      </c>
      <c r="G37" s="72">
        <f>36943*43.972355930836%</f>
        <v>16244.707451528746</v>
      </c>
      <c r="H37" s="74">
        <v>46717.947451528744</v>
      </c>
    </row>
    <row r="38" spans="2:8" ht="15.75" thickBot="1">
      <c r="B38" s="47"/>
      <c r="C38" s="67">
        <v>2045</v>
      </c>
      <c r="D38" s="68" t="s">
        <v>130</v>
      </c>
      <c r="E38" s="67" t="s">
        <v>129</v>
      </c>
      <c r="F38" s="47">
        <f>70800*0.43</f>
        <v>30444</v>
      </c>
      <c r="G38" s="47">
        <f>36943*43.972355930836%</f>
        <v>16244.707451528746</v>
      </c>
      <c r="H38" s="74">
        <v>46688.707451528746</v>
      </c>
    </row>
    <row r="39" spans="2:8" ht="15.75" thickBot="1">
      <c r="B39" s="47"/>
      <c r="C39" s="67">
        <v>2050</v>
      </c>
      <c r="D39" s="68" t="s">
        <v>131</v>
      </c>
      <c r="E39" s="67" t="s">
        <v>132</v>
      </c>
      <c r="F39" s="72">
        <f>70733*0.43</f>
        <v>30415.19</v>
      </c>
      <c r="G39" s="72">
        <f>36944*43.972355930836%</f>
        <v>16245.147175088054</v>
      </c>
      <c r="H39" s="74">
        <v>46660.337175088054</v>
      </c>
    </row>
    <row r="40" spans="2:8">
      <c r="B40" s="47"/>
      <c r="C40" s="47"/>
      <c r="D40" s="47"/>
      <c r="E40" s="47"/>
      <c r="F40" s="47"/>
      <c r="G40" s="47"/>
    </row>
    <row r="41" spans="2:8">
      <c r="B41" s="47"/>
      <c r="C41" s="47"/>
      <c r="D41" s="69" t="s">
        <v>133</v>
      </c>
      <c r="E41" s="69" t="s">
        <v>133</v>
      </c>
      <c r="F41" s="47"/>
      <c r="G41" s="47"/>
    </row>
    <row r="42" spans="2:8">
      <c r="B42" s="47"/>
      <c r="C42" s="47"/>
      <c r="D42" s="70">
        <v>0.433877636835097</v>
      </c>
      <c r="E42" s="70">
        <v>0.43972355930835999</v>
      </c>
      <c r="F42" s="47"/>
      <c r="G42" s="47"/>
    </row>
    <row r="43" spans="2:8">
      <c r="B43" s="47"/>
      <c r="C43" s="47"/>
      <c r="D43" s="47"/>
      <c r="E43" s="47"/>
      <c r="F43" s="47"/>
      <c r="G43" s="47"/>
    </row>
    <row r="44" spans="2:8">
      <c r="B44" s="47"/>
      <c r="C44" s="47"/>
      <c r="D44" s="47"/>
      <c r="E44" s="47"/>
      <c r="F44" s="47"/>
      <c r="G44" s="47"/>
    </row>
    <row r="45" spans="2:8">
      <c r="B45" s="47"/>
      <c r="C45" s="47"/>
      <c r="D45" s="47"/>
      <c r="E45" s="47"/>
      <c r="F45" s="47"/>
      <c r="G45" s="47"/>
    </row>
    <row r="46" spans="2:8">
      <c r="B46" s="47"/>
      <c r="C46" s="47"/>
      <c r="D46" s="47"/>
      <c r="E46" s="47"/>
      <c r="F46" s="47"/>
      <c r="G46" s="47"/>
    </row>
  </sheetData>
  <mergeCells count="4">
    <mergeCell ref="L1:O1"/>
    <mergeCell ref="P1:S1"/>
    <mergeCell ref="E1:G1"/>
    <mergeCell ref="H1:K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3694A-F41B-4993-B454-E310D525EBDA}">
  <dimension ref="B2:O51"/>
  <sheetViews>
    <sheetView topLeftCell="A10" workbookViewId="0">
      <selection activeCell="K5" sqref="K5"/>
    </sheetView>
  </sheetViews>
  <sheetFormatPr defaultColWidth="8.7109375" defaultRowHeight="15" customHeight="1"/>
  <cols>
    <col min="1" max="1" width="4.7109375" style="8" customWidth="1"/>
    <col min="2" max="3" width="7.7109375" style="8" customWidth="1"/>
    <col min="4" max="4" width="15.28515625" style="8" bestFit="1" customWidth="1"/>
    <col min="5" max="6" width="15.28515625" style="8" customWidth="1"/>
    <col min="7" max="8" width="15.28515625" style="8" bestFit="1" customWidth="1"/>
    <col min="9" max="11" width="15.7109375" style="8" customWidth="1"/>
    <col min="12" max="12" width="6.7109375" style="8" customWidth="1"/>
    <col min="13" max="15" width="20.140625" style="8" bestFit="1" customWidth="1"/>
    <col min="16" max="27" width="6.7109375" style="8" customWidth="1"/>
    <col min="28" max="16384" width="8.7109375" style="8"/>
  </cols>
  <sheetData>
    <row r="2" spans="2:15" ht="15" customHeight="1">
      <c r="B2" s="15" t="s">
        <v>28</v>
      </c>
    </row>
    <row r="3" spans="2:15" ht="15" customHeight="1">
      <c r="B3" s="17" t="s">
        <v>71</v>
      </c>
      <c r="E3" s="14"/>
      <c r="F3" s="14"/>
    </row>
    <row r="4" spans="2:15" ht="15" customHeight="1">
      <c r="B4" s="15"/>
    </row>
    <row r="5" spans="2:15" ht="15" customHeight="1" thickBot="1">
      <c r="B5" s="15"/>
    </row>
    <row r="6" spans="2:15" ht="15" customHeight="1" thickBot="1">
      <c r="H6" s="205"/>
      <c r="I6" s="378"/>
      <c r="J6" s="378"/>
      <c r="K6" s="378"/>
      <c r="L6" s="205"/>
      <c r="M6" s="509" t="s">
        <v>29</v>
      </c>
      <c r="N6" s="500"/>
      <c r="O6" s="501"/>
    </row>
    <row r="7" spans="2:15" ht="15" customHeight="1" thickBot="1">
      <c r="B7" s="238"/>
      <c r="C7" s="244"/>
      <c r="D7" s="244"/>
      <c r="E7" s="500" t="s">
        <v>234</v>
      </c>
      <c r="F7" s="501"/>
      <c r="H7" s="516" t="s">
        <v>30</v>
      </c>
      <c r="I7" s="515">
        <f>SUM(I10:I33)</f>
        <v>26048388.581082355</v>
      </c>
      <c r="J7" s="505">
        <f>SUM(J10:J33)</f>
        <v>25790483.743645899</v>
      </c>
      <c r="K7" s="514">
        <f>SUM(K10:K33)</f>
        <v>20565125.421809308</v>
      </c>
      <c r="L7" s="205"/>
      <c r="M7" s="510">
        <f ca="1">SUM(M10:M33)</f>
        <v>26048388.581082355</v>
      </c>
      <c r="N7" s="378">
        <f ca="1">SUM(N10:N33)</f>
        <v>25790483.743645899</v>
      </c>
      <c r="O7" s="506">
        <f ca="1">SUM(O10:O33)</f>
        <v>20565125.421809308</v>
      </c>
    </row>
    <row r="8" spans="2:15" ht="15" customHeight="1">
      <c r="B8" s="235"/>
      <c r="C8" s="205"/>
      <c r="D8" s="205"/>
      <c r="E8" s="412" t="s">
        <v>68</v>
      </c>
      <c r="F8" s="502"/>
      <c r="H8" s="205"/>
      <c r="I8" s="235"/>
      <c r="J8" s="205"/>
      <c r="K8" s="236"/>
      <c r="L8" s="205"/>
      <c r="M8" s="235"/>
      <c r="N8" s="205"/>
      <c r="O8" s="236"/>
    </row>
    <row r="9" spans="2:15" ht="15" customHeight="1">
      <c r="B9" s="235" t="s">
        <v>9</v>
      </c>
      <c r="C9" s="205" t="s">
        <v>9</v>
      </c>
      <c r="D9" s="205"/>
      <c r="E9" s="205" t="s">
        <v>31</v>
      </c>
      <c r="F9" s="236" t="s">
        <v>67</v>
      </c>
      <c r="H9" s="205"/>
      <c r="I9" s="235" t="s">
        <v>0</v>
      </c>
      <c r="J9" s="205" t="s">
        <v>69</v>
      </c>
      <c r="K9" s="236" t="s">
        <v>1</v>
      </c>
      <c r="L9" s="205"/>
      <c r="M9" s="235" t="s">
        <v>0</v>
      </c>
      <c r="N9" s="205" t="s">
        <v>33</v>
      </c>
      <c r="O9" s="236" t="s">
        <v>1</v>
      </c>
    </row>
    <row r="10" spans="2:15" ht="15" customHeight="1">
      <c r="B10" s="235">
        <f>[1]Summary!B15</f>
        <v>0</v>
      </c>
      <c r="C10" s="205">
        <f>[1]Summary!C15</f>
        <v>2022</v>
      </c>
      <c r="D10" s="503"/>
      <c r="E10" s="390">
        <v>0</v>
      </c>
      <c r="F10" s="481">
        <v>0</v>
      </c>
      <c r="G10" s="30"/>
      <c r="H10" s="205"/>
      <c r="I10" s="511">
        <f>SUM(E10:F10)</f>
        <v>0</v>
      </c>
      <c r="J10" s="507">
        <f>I10*[1]Assumptions!$C$15</f>
        <v>0</v>
      </c>
      <c r="K10" s="508">
        <f>J10*[1]Assumptions!$D16</f>
        <v>0</v>
      </c>
      <c r="L10" s="507"/>
      <c r="M10" s="511">
        <f t="shared" ref="M10" si="0">I10*(1+H$46)</f>
        <v>0</v>
      </c>
      <c r="N10" s="507">
        <f>M10*[1]Assumptions!$C$15</f>
        <v>0</v>
      </c>
      <c r="O10" s="508">
        <f>N10*[1]Assumptions!$D16</f>
        <v>0</v>
      </c>
    </row>
    <row r="11" spans="2:15" ht="15" customHeight="1">
      <c r="B11" s="235">
        <f>[1]Summary!B16</f>
        <v>1</v>
      </c>
      <c r="C11" s="205">
        <f>[1]Summary!C16</f>
        <v>2023</v>
      </c>
      <c r="D11" s="503"/>
      <c r="E11" s="390">
        <f>SUM(D47:E47)+(SUM(D47:E47)*0.2)</f>
        <v>217514.17398857154</v>
      </c>
      <c r="F11" s="481">
        <v>0</v>
      </c>
      <c r="G11" s="30"/>
      <c r="H11" s="205"/>
      <c r="I11" s="511">
        <f>SUM(E11:F11)</f>
        <v>217514.17398857154</v>
      </c>
      <c r="J11" s="507">
        <f>I11*Assumptions!$C$15</f>
        <v>215360.56830551638</v>
      </c>
      <c r="K11" s="508">
        <f>J11*Assumptions!$D17</f>
        <v>201271.559164034</v>
      </c>
      <c r="L11" s="507"/>
      <c r="M11" s="511">
        <f ca="1">I11*(1+K$51)</f>
        <v>217514.17398857154</v>
      </c>
      <c r="N11" s="507">
        <f ca="1">M11*Assumptions!$C$15</f>
        <v>215360.56830551638</v>
      </c>
      <c r="O11" s="508">
        <f ca="1">N11*Assumptions!$D17</f>
        <v>201271.559164034</v>
      </c>
    </row>
    <row r="12" spans="2:15" ht="15" customHeight="1">
      <c r="B12" s="235">
        <f>[1]Summary!B17</f>
        <v>2</v>
      </c>
      <c r="C12" s="205">
        <f>[1]Summary!C17</f>
        <v>2024</v>
      </c>
      <c r="D12" s="205"/>
      <c r="E12" s="390">
        <f>SUM(D46:E46)+(SUM(D46:E46)*0.2)</f>
        <v>5216075.1919220174</v>
      </c>
      <c r="F12" s="481">
        <v>0</v>
      </c>
      <c r="G12" s="30"/>
      <c r="H12" s="205"/>
      <c r="I12" s="511">
        <f>SUM(E12:F12)</f>
        <v>5216075.1919220174</v>
      </c>
      <c r="J12" s="507">
        <f>I12*Assumptions!$C$15</f>
        <v>5164430.8830911061</v>
      </c>
      <c r="K12" s="508">
        <f>J12*Assumptions!$D18</f>
        <v>4510813.9427819951</v>
      </c>
      <c r="L12" s="507"/>
      <c r="M12" s="511">
        <f ca="1">I12*(1+K$51)</f>
        <v>5216075.1919220174</v>
      </c>
      <c r="N12" s="507">
        <f ca="1">M12*Assumptions!$C$15</f>
        <v>5164430.8830911061</v>
      </c>
      <c r="O12" s="508">
        <f ca="1">N12*Assumptions!$D18</f>
        <v>4510813.9427819951</v>
      </c>
    </row>
    <row r="13" spans="2:15" ht="15" customHeight="1">
      <c r="B13" s="235">
        <f>[1]Summary!B18</f>
        <v>3</v>
      </c>
      <c r="C13" s="205">
        <f>[1]Summary!C18</f>
        <v>2025</v>
      </c>
      <c r="D13" s="205"/>
      <c r="E13" s="390">
        <f>SUM(D45:E45)+(SUM(D45:E45)*0.2)</f>
        <v>3358674.7454117653</v>
      </c>
      <c r="F13" s="481">
        <f>SUM(F45:G45)+(SUM(F45:G45)*0.2)</f>
        <v>4378419.6415808965</v>
      </c>
      <c r="H13" s="205"/>
      <c r="I13" s="511">
        <f>SUM(E13:F13)</f>
        <v>7737094.3869926613</v>
      </c>
      <c r="J13" s="507">
        <f>I13*Assumptions!$C$15</f>
        <v>7660489.4920719415</v>
      </c>
      <c r="K13" s="508">
        <f>J13*Assumptions!$D19</f>
        <v>6253241.3083230061</v>
      </c>
      <c r="L13" s="507"/>
      <c r="M13" s="511">
        <f t="shared" ref="M13:M15" ca="1" si="1">I13*(1+K$51)</f>
        <v>7737094.3869926613</v>
      </c>
      <c r="N13" s="507">
        <f ca="1">M13*Assumptions!$C$15</f>
        <v>7660489.4920719415</v>
      </c>
      <c r="O13" s="508">
        <f ca="1">N13*Assumptions!$D19</f>
        <v>6253241.3083230061</v>
      </c>
    </row>
    <row r="14" spans="2:15" ht="15" customHeight="1">
      <c r="B14" s="235">
        <f>[1]Summary!B19</f>
        <v>4</v>
      </c>
      <c r="C14" s="205">
        <f>[1]Summary!C19</f>
        <v>2026</v>
      </c>
      <c r="D14" s="205"/>
      <c r="E14" s="390">
        <v>0</v>
      </c>
      <c r="F14" s="481">
        <f>SUM(F44:G44)+(SUM(F44:G44)*0.2)</f>
        <v>10302163.862543285</v>
      </c>
      <c r="H14" s="205"/>
      <c r="I14" s="511">
        <f>SUM(E14:F14)</f>
        <v>10302163.862543285</v>
      </c>
      <c r="J14" s="507">
        <f>I14*Assumptions!$C$15</f>
        <v>10200162.240141867</v>
      </c>
      <c r="K14" s="508">
        <f>J14*Assumptions!$D20</f>
        <v>7781654.9351121886</v>
      </c>
      <c r="L14" s="507"/>
      <c r="M14" s="511">
        <f t="shared" ca="1" si="1"/>
        <v>10302163.862543285</v>
      </c>
      <c r="N14" s="507">
        <f ca="1">M14*Assumptions!$C$15</f>
        <v>10200162.240141867</v>
      </c>
      <c r="O14" s="508">
        <f ca="1">N14*Assumptions!$D20</f>
        <v>7781654.9351121886</v>
      </c>
    </row>
    <row r="15" spans="2:15" ht="15" customHeight="1">
      <c r="B15" s="235">
        <f>[1]Summary!B20</f>
        <v>5</v>
      </c>
      <c r="C15" s="205">
        <f>[1]Summary!C20</f>
        <v>2027</v>
      </c>
      <c r="D15" s="205"/>
      <c r="E15" s="390">
        <v>0</v>
      </c>
      <c r="F15" s="481">
        <f>SUM(F43:G43)+(SUM(F43:G43)*0.2)</f>
        <v>2575540.9656358212</v>
      </c>
      <c r="H15" s="205"/>
      <c r="I15" s="511">
        <f t="shared" ref="I15:I33" si="2">SUM(E15:F15)</f>
        <v>2575540.9656358212</v>
      </c>
      <c r="J15" s="507">
        <f>I15*Assumptions!$C$15</f>
        <v>2550040.5600354667</v>
      </c>
      <c r="K15" s="508">
        <f>J15*Assumptions!$D21</f>
        <v>1818143.6764280815</v>
      </c>
      <c r="L15" s="507"/>
      <c r="M15" s="511">
        <f t="shared" ca="1" si="1"/>
        <v>2575540.9656358212</v>
      </c>
      <c r="N15" s="507">
        <f ca="1">M15*Assumptions!$C$15</f>
        <v>2550040.5600354667</v>
      </c>
      <c r="O15" s="508">
        <f ca="1">N15*Assumptions!$D21</f>
        <v>1818143.6764280815</v>
      </c>
    </row>
    <row r="16" spans="2:15" ht="15" customHeight="1">
      <c r="B16" s="235">
        <f>[1]Summary!B21</f>
        <v>6</v>
      </c>
      <c r="C16" s="205">
        <f>[1]Summary!C21</f>
        <v>2028</v>
      </c>
      <c r="D16" s="205"/>
      <c r="E16" s="390">
        <v>0</v>
      </c>
      <c r="F16" s="481">
        <v>0</v>
      </c>
      <c r="H16" s="205"/>
      <c r="I16" s="512">
        <f t="shared" si="2"/>
        <v>0</v>
      </c>
      <c r="J16" s="390">
        <f>I16*[1]Assumptions!$C$15</f>
        <v>0</v>
      </c>
      <c r="K16" s="481">
        <f>J16*[1]Assumptions!$D22</f>
        <v>0</v>
      </c>
      <c r="L16" s="205"/>
      <c r="M16" s="512">
        <f t="shared" ref="M16:M23" si="3">I16*(1+H$46)</f>
        <v>0</v>
      </c>
      <c r="N16" s="390">
        <f>M16*[1]Assumptions!$C$15</f>
        <v>0</v>
      </c>
      <c r="O16" s="481">
        <f>N16*[1]Assumptions!$D22</f>
        <v>0</v>
      </c>
    </row>
    <row r="17" spans="2:15" ht="15" customHeight="1">
      <c r="B17" s="235">
        <f>[1]Summary!B22</f>
        <v>7</v>
      </c>
      <c r="C17" s="205">
        <f>[1]Summary!C22</f>
        <v>2029</v>
      </c>
      <c r="D17" s="205"/>
      <c r="E17" s="390">
        <v>0</v>
      </c>
      <c r="F17" s="481">
        <v>0</v>
      </c>
      <c r="H17" s="205"/>
      <c r="I17" s="512">
        <f t="shared" si="2"/>
        <v>0</v>
      </c>
      <c r="J17" s="390">
        <f>I17*[1]Assumptions!$C$15</f>
        <v>0</v>
      </c>
      <c r="K17" s="481">
        <f>J17*[1]Assumptions!$D23</f>
        <v>0</v>
      </c>
      <c r="L17" s="205"/>
      <c r="M17" s="512">
        <f t="shared" si="3"/>
        <v>0</v>
      </c>
      <c r="N17" s="390">
        <f>M17*[1]Assumptions!$C$15</f>
        <v>0</v>
      </c>
      <c r="O17" s="481">
        <f>N17*[1]Assumptions!$D23</f>
        <v>0</v>
      </c>
    </row>
    <row r="18" spans="2:15" ht="15" customHeight="1">
      <c r="B18" s="235">
        <f>[1]Summary!B23</f>
        <v>8</v>
      </c>
      <c r="C18" s="205">
        <f>[1]Summary!C23</f>
        <v>2030</v>
      </c>
      <c r="D18" s="205"/>
      <c r="E18" s="390">
        <v>0</v>
      </c>
      <c r="F18" s="481">
        <v>0</v>
      </c>
      <c r="H18" s="205"/>
      <c r="I18" s="512">
        <f t="shared" si="2"/>
        <v>0</v>
      </c>
      <c r="J18" s="390">
        <f>I18*[1]Assumptions!$C$15</f>
        <v>0</v>
      </c>
      <c r="K18" s="481">
        <f>J18*[1]Assumptions!$D24</f>
        <v>0</v>
      </c>
      <c r="L18" s="205"/>
      <c r="M18" s="512">
        <f t="shared" si="3"/>
        <v>0</v>
      </c>
      <c r="N18" s="390">
        <f>M18*[1]Assumptions!$C$15</f>
        <v>0</v>
      </c>
      <c r="O18" s="481">
        <f>N18*[1]Assumptions!$D24</f>
        <v>0</v>
      </c>
    </row>
    <row r="19" spans="2:15" ht="15" customHeight="1">
      <c r="B19" s="235">
        <f>[1]Summary!B24</f>
        <v>9</v>
      </c>
      <c r="C19" s="205">
        <f>[1]Summary!C24</f>
        <v>2031</v>
      </c>
      <c r="D19" s="205"/>
      <c r="E19" s="390">
        <v>0</v>
      </c>
      <c r="F19" s="481">
        <v>0</v>
      </c>
      <c r="H19" s="205"/>
      <c r="I19" s="512">
        <f t="shared" si="2"/>
        <v>0</v>
      </c>
      <c r="J19" s="390">
        <f>I19*[1]Assumptions!$C$15</f>
        <v>0</v>
      </c>
      <c r="K19" s="481">
        <f>J19*[1]Assumptions!$D25</f>
        <v>0</v>
      </c>
      <c r="L19" s="205"/>
      <c r="M19" s="512">
        <f t="shared" si="3"/>
        <v>0</v>
      </c>
      <c r="N19" s="390">
        <f>M19*[1]Assumptions!$C$15</f>
        <v>0</v>
      </c>
      <c r="O19" s="481">
        <f>N19*[1]Assumptions!$D25</f>
        <v>0</v>
      </c>
    </row>
    <row r="20" spans="2:15" ht="15" customHeight="1">
      <c r="B20" s="235">
        <f>[1]Summary!B25</f>
        <v>10</v>
      </c>
      <c r="C20" s="205">
        <f>[1]Summary!C25</f>
        <v>2032</v>
      </c>
      <c r="D20" s="205"/>
      <c r="E20" s="390">
        <v>0</v>
      </c>
      <c r="F20" s="481">
        <v>0</v>
      </c>
      <c r="H20" s="205"/>
      <c r="I20" s="512">
        <f t="shared" si="2"/>
        <v>0</v>
      </c>
      <c r="J20" s="390">
        <f>I20*[1]Assumptions!$C$15</f>
        <v>0</v>
      </c>
      <c r="K20" s="481">
        <f>J20*[1]Assumptions!$D26</f>
        <v>0</v>
      </c>
      <c r="L20" s="205"/>
      <c r="M20" s="512">
        <f t="shared" si="3"/>
        <v>0</v>
      </c>
      <c r="N20" s="390">
        <f>M20*[1]Assumptions!$C$15</f>
        <v>0</v>
      </c>
      <c r="O20" s="481">
        <f>N20*[1]Assumptions!$D26</f>
        <v>0</v>
      </c>
    </row>
    <row r="21" spans="2:15" ht="15" customHeight="1">
      <c r="B21" s="235">
        <f>[1]Summary!B26</f>
        <v>11</v>
      </c>
      <c r="C21" s="205">
        <f>[1]Summary!C26</f>
        <v>2033</v>
      </c>
      <c r="D21" s="205"/>
      <c r="E21" s="390">
        <v>0</v>
      </c>
      <c r="F21" s="481">
        <v>0</v>
      </c>
      <c r="H21" s="205"/>
      <c r="I21" s="512">
        <f t="shared" si="2"/>
        <v>0</v>
      </c>
      <c r="J21" s="390">
        <f>I21*[1]Assumptions!$C$15</f>
        <v>0</v>
      </c>
      <c r="K21" s="481">
        <f>J21*[1]Assumptions!$D27</f>
        <v>0</v>
      </c>
      <c r="L21" s="205"/>
      <c r="M21" s="512">
        <f t="shared" si="3"/>
        <v>0</v>
      </c>
      <c r="N21" s="390">
        <f>M21*[1]Assumptions!$C$15</f>
        <v>0</v>
      </c>
      <c r="O21" s="481">
        <f>N21*[1]Assumptions!$D27</f>
        <v>0</v>
      </c>
    </row>
    <row r="22" spans="2:15" ht="15" customHeight="1">
      <c r="B22" s="235">
        <f>[1]Summary!B27</f>
        <v>12</v>
      </c>
      <c r="C22" s="205">
        <f>[1]Summary!C27</f>
        <v>2034</v>
      </c>
      <c r="D22" s="205"/>
      <c r="E22" s="390">
        <v>0</v>
      </c>
      <c r="F22" s="481">
        <v>0</v>
      </c>
      <c r="H22" s="205"/>
      <c r="I22" s="512">
        <f t="shared" si="2"/>
        <v>0</v>
      </c>
      <c r="J22" s="390">
        <f>I22*[1]Assumptions!$C$15</f>
        <v>0</v>
      </c>
      <c r="K22" s="481">
        <f>J22*[1]Assumptions!$D28</f>
        <v>0</v>
      </c>
      <c r="L22" s="205"/>
      <c r="M22" s="512">
        <f t="shared" si="3"/>
        <v>0</v>
      </c>
      <c r="N22" s="390">
        <f>M22*[1]Assumptions!$C$15</f>
        <v>0</v>
      </c>
      <c r="O22" s="481">
        <f>N22*[1]Assumptions!$D28</f>
        <v>0</v>
      </c>
    </row>
    <row r="23" spans="2:15" ht="15" customHeight="1">
      <c r="B23" s="235">
        <f>[1]Summary!B28</f>
        <v>13</v>
      </c>
      <c r="C23" s="205">
        <f>[1]Summary!C28</f>
        <v>2035</v>
      </c>
      <c r="D23" s="205"/>
      <c r="E23" s="390">
        <v>0</v>
      </c>
      <c r="F23" s="481">
        <v>0</v>
      </c>
      <c r="H23" s="205"/>
      <c r="I23" s="512">
        <f t="shared" si="2"/>
        <v>0</v>
      </c>
      <c r="J23" s="390">
        <f>I23*[1]Assumptions!$C$15</f>
        <v>0</v>
      </c>
      <c r="K23" s="481">
        <f>J23*[1]Assumptions!$D29</f>
        <v>0</v>
      </c>
      <c r="L23" s="205"/>
      <c r="M23" s="512">
        <f t="shared" si="3"/>
        <v>0</v>
      </c>
      <c r="N23" s="390">
        <f>M23*[1]Assumptions!$C$15</f>
        <v>0</v>
      </c>
      <c r="O23" s="481">
        <f>N23*[1]Assumptions!$D29</f>
        <v>0</v>
      </c>
    </row>
    <row r="24" spans="2:15" ht="15" customHeight="1">
      <c r="B24" s="235">
        <f>[1]Summary!B29</f>
        <v>14</v>
      </c>
      <c r="C24" s="205">
        <f>[1]Summary!C29</f>
        <v>2036</v>
      </c>
      <c r="D24" s="205"/>
      <c r="E24" s="390">
        <v>0</v>
      </c>
      <c r="F24" s="481">
        <v>0</v>
      </c>
      <c r="G24" s="31"/>
      <c r="H24" s="205"/>
      <c r="I24" s="512">
        <f t="shared" si="2"/>
        <v>0</v>
      </c>
      <c r="J24" s="390">
        <f>I24*[1]Assumptions!$C$15</f>
        <v>0</v>
      </c>
      <c r="K24" s="481">
        <f>J24*[1]Assumptions!$D30</f>
        <v>0</v>
      </c>
      <c r="L24" s="205"/>
      <c r="M24" s="512">
        <f>I24*(1+H$49)</f>
        <v>0</v>
      </c>
      <c r="N24" s="390">
        <f>M24*[1]Assumptions!$C$15</f>
        <v>0</v>
      </c>
      <c r="O24" s="481">
        <f>N24*[1]Assumptions!$D30</f>
        <v>0</v>
      </c>
    </row>
    <row r="25" spans="2:15" ht="15" customHeight="1">
      <c r="B25" s="235">
        <f>[1]Summary!B30</f>
        <v>15</v>
      </c>
      <c r="C25" s="205">
        <f>[1]Summary!C30</f>
        <v>2037</v>
      </c>
      <c r="D25" s="205"/>
      <c r="E25" s="390">
        <v>0</v>
      </c>
      <c r="F25" s="481">
        <v>0</v>
      </c>
      <c r="H25" s="205"/>
      <c r="I25" s="512">
        <f t="shared" si="2"/>
        <v>0</v>
      </c>
      <c r="J25" s="390">
        <f>I25*[1]Assumptions!$C$15</f>
        <v>0</v>
      </c>
      <c r="K25" s="481">
        <f>J25*[1]Assumptions!$D31</f>
        <v>0</v>
      </c>
      <c r="L25" s="205"/>
      <c r="M25" s="512">
        <f t="shared" ref="M25:M33" si="4">I25*(1+H$46)</f>
        <v>0</v>
      </c>
      <c r="N25" s="390">
        <f>M25*[1]Assumptions!$C$15</f>
        <v>0</v>
      </c>
      <c r="O25" s="481">
        <f>N25*[1]Assumptions!$D31</f>
        <v>0</v>
      </c>
    </row>
    <row r="26" spans="2:15" ht="15" customHeight="1">
      <c r="B26" s="235">
        <f>[1]Summary!B31</f>
        <v>16</v>
      </c>
      <c r="C26" s="205">
        <f>[1]Summary!C31</f>
        <v>2038</v>
      </c>
      <c r="D26" s="205"/>
      <c r="E26" s="390">
        <v>0</v>
      </c>
      <c r="F26" s="481">
        <v>0</v>
      </c>
      <c r="H26" s="205"/>
      <c r="I26" s="512">
        <f t="shared" si="2"/>
        <v>0</v>
      </c>
      <c r="J26" s="390">
        <f>I26*[1]Assumptions!$C$15</f>
        <v>0</v>
      </c>
      <c r="K26" s="481">
        <f>J26*[1]Assumptions!$D32</f>
        <v>0</v>
      </c>
      <c r="L26" s="205"/>
      <c r="M26" s="512">
        <f t="shared" si="4"/>
        <v>0</v>
      </c>
      <c r="N26" s="390">
        <f>M26*[1]Assumptions!$C$15</f>
        <v>0</v>
      </c>
      <c r="O26" s="481">
        <f>N26*[1]Assumptions!$D32</f>
        <v>0</v>
      </c>
    </row>
    <row r="27" spans="2:15" ht="15" customHeight="1">
      <c r="B27" s="235">
        <f>[1]Summary!B32</f>
        <v>17</v>
      </c>
      <c r="C27" s="205">
        <f>[1]Summary!C32</f>
        <v>2039</v>
      </c>
      <c r="D27" s="205"/>
      <c r="E27" s="390">
        <v>0</v>
      </c>
      <c r="F27" s="481">
        <v>0</v>
      </c>
      <c r="H27" s="205"/>
      <c r="I27" s="512">
        <f t="shared" si="2"/>
        <v>0</v>
      </c>
      <c r="J27" s="390">
        <f>I27*[1]Assumptions!$C$15</f>
        <v>0</v>
      </c>
      <c r="K27" s="481">
        <f>J27*[1]Assumptions!$D33</f>
        <v>0</v>
      </c>
      <c r="L27" s="205"/>
      <c r="M27" s="512">
        <f t="shared" si="4"/>
        <v>0</v>
      </c>
      <c r="N27" s="390">
        <f>M27*[1]Assumptions!$C$15</f>
        <v>0</v>
      </c>
      <c r="O27" s="481">
        <f>N27*[1]Assumptions!$D33</f>
        <v>0</v>
      </c>
    </row>
    <row r="28" spans="2:15" ht="15" customHeight="1">
      <c r="B28" s="235">
        <f>[1]Summary!B33</f>
        <v>18</v>
      </c>
      <c r="C28" s="205">
        <f>[1]Summary!C33</f>
        <v>2040</v>
      </c>
      <c r="D28" s="205"/>
      <c r="E28" s="390">
        <v>0</v>
      </c>
      <c r="F28" s="481">
        <v>0</v>
      </c>
      <c r="H28" s="205"/>
      <c r="I28" s="512">
        <f t="shared" si="2"/>
        <v>0</v>
      </c>
      <c r="J28" s="390">
        <f>I28*[1]Assumptions!$C$15</f>
        <v>0</v>
      </c>
      <c r="K28" s="481">
        <f>J28*[1]Assumptions!$D34</f>
        <v>0</v>
      </c>
      <c r="L28" s="205"/>
      <c r="M28" s="512">
        <f t="shared" si="4"/>
        <v>0</v>
      </c>
      <c r="N28" s="390">
        <f>M28*[1]Assumptions!$C$15</f>
        <v>0</v>
      </c>
      <c r="O28" s="481">
        <f>N28*[1]Assumptions!$D34</f>
        <v>0</v>
      </c>
    </row>
    <row r="29" spans="2:15" ht="15" customHeight="1">
      <c r="B29" s="235">
        <f>[1]Summary!B34</f>
        <v>19</v>
      </c>
      <c r="C29" s="205">
        <f>[1]Summary!C34</f>
        <v>2041</v>
      </c>
      <c r="D29" s="205"/>
      <c r="E29" s="390">
        <v>0</v>
      </c>
      <c r="F29" s="481">
        <v>0</v>
      </c>
      <c r="H29" s="205"/>
      <c r="I29" s="512">
        <f t="shared" si="2"/>
        <v>0</v>
      </c>
      <c r="J29" s="390">
        <f>I29*[1]Assumptions!$C$15</f>
        <v>0</v>
      </c>
      <c r="K29" s="481">
        <f>J29*[1]Assumptions!$D35</f>
        <v>0</v>
      </c>
      <c r="L29" s="205"/>
      <c r="M29" s="512">
        <f t="shared" si="4"/>
        <v>0</v>
      </c>
      <c r="N29" s="390">
        <f>M29*[1]Assumptions!$C$15</f>
        <v>0</v>
      </c>
      <c r="O29" s="481">
        <f>N29*[1]Assumptions!$D35</f>
        <v>0</v>
      </c>
    </row>
    <row r="30" spans="2:15" ht="15" customHeight="1">
      <c r="B30" s="235">
        <f>[1]Summary!B35</f>
        <v>20</v>
      </c>
      <c r="C30" s="205">
        <f>[1]Summary!C35</f>
        <v>2042</v>
      </c>
      <c r="D30" s="205"/>
      <c r="E30" s="390">
        <v>0</v>
      </c>
      <c r="F30" s="481">
        <v>0</v>
      </c>
      <c r="H30" s="205"/>
      <c r="I30" s="512">
        <f t="shared" si="2"/>
        <v>0</v>
      </c>
      <c r="J30" s="390">
        <f>I30*[1]Assumptions!$C$15</f>
        <v>0</v>
      </c>
      <c r="K30" s="481">
        <f>J30*[1]Assumptions!$D36</f>
        <v>0</v>
      </c>
      <c r="L30" s="205"/>
      <c r="M30" s="512">
        <f t="shared" si="4"/>
        <v>0</v>
      </c>
      <c r="N30" s="390">
        <f>M30*[1]Assumptions!$C$15</f>
        <v>0</v>
      </c>
      <c r="O30" s="481">
        <f>N30*[1]Assumptions!$D36</f>
        <v>0</v>
      </c>
    </row>
    <row r="31" spans="2:15" ht="15" customHeight="1">
      <c r="B31" s="235">
        <f>[1]Summary!B36</f>
        <v>21</v>
      </c>
      <c r="C31" s="205">
        <f>[1]Summary!C36</f>
        <v>2043</v>
      </c>
      <c r="D31" s="205"/>
      <c r="E31" s="390">
        <v>0</v>
      </c>
      <c r="F31" s="481">
        <v>0</v>
      </c>
      <c r="H31" s="205"/>
      <c r="I31" s="512">
        <f t="shared" si="2"/>
        <v>0</v>
      </c>
      <c r="J31" s="390">
        <f>I31*[1]Assumptions!$C$15</f>
        <v>0</v>
      </c>
      <c r="K31" s="481">
        <f>J31*[1]Assumptions!$D37</f>
        <v>0</v>
      </c>
      <c r="L31" s="205"/>
      <c r="M31" s="512">
        <f t="shared" si="4"/>
        <v>0</v>
      </c>
      <c r="N31" s="390">
        <f>M31*[1]Assumptions!$C$15</f>
        <v>0</v>
      </c>
      <c r="O31" s="481">
        <f>N31*[1]Assumptions!$D37</f>
        <v>0</v>
      </c>
    </row>
    <row r="32" spans="2:15" ht="15" customHeight="1">
      <c r="B32" s="235">
        <f>[1]Summary!B37</f>
        <v>22</v>
      </c>
      <c r="C32" s="205">
        <f>[1]Summary!C37</f>
        <v>2044</v>
      </c>
      <c r="D32" s="205"/>
      <c r="E32" s="390">
        <v>0</v>
      </c>
      <c r="F32" s="481">
        <v>0</v>
      </c>
      <c r="H32" s="205"/>
      <c r="I32" s="512">
        <f t="shared" si="2"/>
        <v>0</v>
      </c>
      <c r="J32" s="390">
        <f>I32*[1]Assumptions!$C$15</f>
        <v>0</v>
      </c>
      <c r="K32" s="481">
        <f>J32*[1]Assumptions!$D38</f>
        <v>0</v>
      </c>
      <c r="L32" s="205"/>
      <c r="M32" s="512">
        <f t="shared" si="4"/>
        <v>0</v>
      </c>
      <c r="N32" s="390">
        <f>M32*[1]Assumptions!$C$15</f>
        <v>0</v>
      </c>
      <c r="O32" s="481">
        <f>N32*[1]Assumptions!$D38</f>
        <v>0</v>
      </c>
    </row>
    <row r="33" spans="2:15" ht="15" customHeight="1" thickBot="1">
      <c r="B33" s="177">
        <f>[1]Summary!B38</f>
        <v>23</v>
      </c>
      <c r="C33" s="237">
        <f>[1]Summary!C38</f>
        <v>2045</v>
      </c>
      <c r="D33" s="237"/>
      <c r="E33" s="398">
        <v>0</v>
      </c>
      <c r="F33" s="504">
        <v>0</v>
      </c>
      <c r="H33" s="205"/>
      <c r="I33" s="513">
        <f t="shared" si="2"/>
        <v>0</v>
      </c>
      <c r="J33" s="398">
        <f>I33*[1]Assumptions!$C$15</f>
        <v>0</v>
      </c>
      <c r="K33" s="504">
        <f>J33*[1]Assumptions!$D39</f>
        <v>0</v>
      </c>
      <c r="L33" s="205"/>
      <c r="M33" s="513">
        <f t="shared" si="4"/>
        <v>0</v>
      </c>
      <c r="N33" s="398">
        <f>M33*[1]Assumptions!$C$15</f>
        <v>0</v>
      </c>
      <c r="O33" s="504">
        <f>N33*[1]Assumptions!$D39</f>
        <v>0</v>
      </c>
    </row>
    <row r="35" spans="2:15" ht="15" customHeight="1" thickBot="1"/>
    <row r="36" spans="2:15">
      <c r="B36" s="427" t="s">
        <v>53</v>
      </c>
      <c r="C36" s="428"/>
      <c r="D36" s="428" t="s">
        <v>54</v>
      </c>
      <c r="E36" s="428" t="s">
        <v>34</v>
      </c>
      <c r="F36" s="428" t="s">
        <v>55</v>
      </c>
      <c r="G36" s="428" t="s">
        <v>32</v>
      </c>
      <c r="H36" s="428" t="s">
        <v>35</v>
      </c>
      <c r="I36" s="428" t="s">
        <v>56</v>
      </c>
      <c r="J36" s="446" t="s">
        <v>230</v>
      </c>
      <c r="K36" s="447"/>
      <c r="L36" s="448"/>
      <c r="M36" s="32"/>
      <c r="N36" s="32"/>
      <c r="O36" s="33"/>
    </row>
    <row r="37" spans="2:15" ht="15.75" thickBot="1">
      <c r="B37" s="429"/>
      <c r="C37" s="430"/>
      <c r="D37" s="431">
        <v>2.1999999999999999E-2</v>
      </c>
      <c r="E37" s="431">
        <v>0.30099999999999999</v>
      </c>
      <c r="F37" s="431">
        <v>3.2000000000000001E-2</v>
      </c>
      <c r="G37" s="431">
        <v>0.64500000000000002</v>
      </c>
      <c r="H37" s="431">
        <f>SUM(D37:G37)</f>
        <v>1</v>
      </c>
      <c r="I37" s="430" t="s">
        <v>57</v>
      </c>
      <c r="J37" s="449"/>
      <c r="K37" s="450"/>
      <c r="L37" s="451"/>
      <c r="M37" s="34"/>
      <c r="N37" s="35"/>
      <c r="O37" s="36"/>
    </row>
    <row r="38" spans="2:15">
      <c r="B38" s="429"/>
      <c r="C38" s="430"/>
      <c r="D38" s="433">
        <v>28922784</v>
      </c>
      <c r="E38" s="433">
        <v>28922784</v>
      </c>
      <c r="F38" s="433">
        <v>28922784</v>
      </c>
      <c r="G38" s="433">
        <v>28922784</v>
      </c>
      <c r="H38" s="433"/>
      <c r="I38" s="433"/>
      <c r="J38" s="430"/>
      <c r="K38" s="205"/>
      <c r="L38" s="432"/>
      <c r="M38" s="34"/>
      <c r="N38" s="35"/>
      <c r="O38" s="36"/>
    </row>
    <row r="39" spans="2:15">
      <c r="B39" s="429"/>
      <c r="C39" s="430"/>
      <c r="D39" s="433">
        <v>28309716</v>
      </c>
      <c r="E39" s="433">
        <v>20195948</v>
      </c>
      <c r="F39" s="433">
        <v>28005100</v>
      </c>
      <c r="G39" s="433">
        <v>10257588</v>
      </c>
      <c r="H39" s="433"/>
      <c r="I39" s="433"/>
      <c r="J39" s="430"/>
      <c r="K39" s="205"/>
      <c r="L39" s="432"/>
      <c r="M39" s="34"/>
      <c r="N39" s="35"/>
      <c r="O39" s="36"/>
    </row>
    <row r="40" spans="2:15">
      <c r="B40" s="429"/>
      <c r="C40" s="430"/>
      <c r="D40" s="434">
        <v>528680.2840000001</v>
      </c>
      <c r="E40" s="434">
        <v>7930204.2600000007</v>
      </c>
      <c r="F40" s="434">
        <v>793020.42600000009</v>
      </c>
      <c r="G40" s="434">
        <v>17182109.230000004</v>
      </c>
      <c r="H40" s="434">
        <v>26434014.200000007</v>
      </c>
      <c r="I40" s="434">
        <v>31720817.040000003</v>
      </c>
      <c r="J40" s="435"/>
      <c r="K40" s="205"/>
      <c r="L40" s="432"/>
      <c r="M40" s="34"/>
      <c r="N40" s="35"/>
      <c r="O40" s="36"/>
    </row>
    <row r="41" spans="2:15">
      <c r="B41" s="429"/>
      <c r="C41" s="430" t="s">
        <v>58</v>
      </c>
      <c r="D41" s="436">
        <v>3.5</v>
      </c>
      <c r="E41" s="436">
        <v>5.0999999999999996</v>
      </c>
      <c r="F41" s="433">
        <v>6.7</v>
      </c>
      <c r="G41" s="433">
        <v>6.7</v>
      </c>
      <c r="H41" s="437"/>
      <c r="I41" s="437"/>
      <c r="J41" s="430"/>
      <c r="K41" s="205"/>
      <c r="L41" s="432"/>
      <c r="M41" s="34"/>
      <c r="N41" s="35"/>
      <c r="O41" s="36"/>
    </row>
    <row r="42" spans="2:15">
      <c r="B42" s="429"/>
      <c r="C42" s="430" t="s">
        <v>59</v>
      </c>
      <c r="D42" s="435">
        <f>D40/D41</f>
        <v>151051.50971428576</v>
      </c>
      <c r="E42" s="435">
        <f>E40/E41</f>
        <v>1554942.0117647061</v>
      </c>
      <c r="F42" s="435">
        <f t="shared" ref="F42:G42" si="5">F40/F41</f>
        <v>118361.25761194031</v>
      </c>
      <c r="G42" s="435">
        <f t="shared" si="5"/>
        <v>2564493.9149253736</v>
      </c>
      <c r="H42" s="435"/>
      <c r="I42" s="435"/>
      <c r="J42" s="430"/>
      <c r="K42" s="205"/>
      <c r="L42" s="432"/>
    </row>
    <row r="43" spans="2:15" ht="15" customHeight="1">
      <c r="B43" s="429"/>
      <c r="C43" s="37" t="s">
        <v>60</v>
      </c>
      <c r="D43" s="37"/>
      <c r="E43" s="37"/>
      <c r="F43" s="38">
        <f>(F42*1)*0.8</f>
        <v>94689.006089552247</v>
      </c>
      <c r="G43" s="38">
        <f>(G42*1)*0.8</f>
        <v>2051595.1319402989</v>
      </c>
      <c r="H43" s="38">
        <f>SUM(D43:G43)</f>
        <v>2146284.138029851</v>
      </c>
      <c r="I43" s="38">
        <f>SUM(H43)*0.2</f>
        <v>429256.8276059702</v>
      </c>
      <c r="J43" s="438">
        <f>SUM(H43:I43)</f>
        <v>2575540.9656358212</v>
      </c>
      <c r="K43" s="205"/>
      <c r="L43" s="236"/>
    </row>
    <row r="44" spans="2:15" ht="15" customHeight="1">
      <c r="B44" s="429"/>
      <c r="C44" s="37" t="s">
        <v>61</v>
      </c>
      <c r="D44" s="37"/>
      <c r="E44" s="37"/>
      <c r="F44" s="38">
        <f>(F42*4)*0.8</f>
        <v>378756.02435820899</v>
      </c>
      <c r="G44" s="38">
        <f>(G42*4)*0.8</f>
        <v>8206380.5277611958</v>
      </c>
      <c r="H44" s="38">
        <f t="shared" ref="H44:H46" si="6">SUM(D44:G44)</f>
        <v>8585136.5521194041</v>
      </c>
      <c r="I44" s="37">
        <f t="shared" ref="I44:I46" si="7">SUM(H44)*0.2</f>
        <v>1717027.3104238808</v>
      </c>
      <c r="J44" s="438">
        <f>SUM(H44:I44)</f>
        <v>10302163.862543285</v>
      </c>
      <c r="K44" s="205"/>
      <c r="L44" s="236"/>
    </row>
    <row r="45" spans="2:15" ht="15" customHeight="1">
      <c r="B45" s="429"/>
      <c r="C45" s="37" t="s">
        <v>62</v>
      </c>
      <c r="D45" s="37"/>
      <c r="E45" s="38">
        <f>(1.8*E42)</f>
        <v>2798895.621176471</v>
      </c>
      <c r="F45" s="38">
        <f>(F42*1.7)*0.8</f>
        <v>160971.31035223883</v>
      </c>
      <c r="G45" s="38">
        <f>(G42*1.7)*0.8</f>
        <v>3487711.7242985079</v>
      </c>
      <c r="H45" s="38">
        <f t="shared" si="6"/>
        <v>6447578.6558272177</v>
      </c>
      <c r="I45" s="38">
        <f>SUM(H45)*0.2</f>
        <v>1289515.7311654435</v>
      </c>
      <c r="J45" s="438">
        <f>SUM(H45:I45)</f>
        <v>7737094.3869926613</v>
      </c>
      <c r="K45" s="205"/>
      <c r="L45" s="432"/>
    </row>
    <row r="46" spans="2:15" ht="15" customHeight="1">
      <c r="B46" s="429"/>
      <c r="C46" s="37" t="s">
        <v>63</v>
      </c>
      <c r="D46" s="38">
        <f>(D42*2)*0.8</f>
        <v>241682.41554285723</v>
      </c>
      <c r="E46" s="38">
        <f>(3.3*E42)*0.8</f>
        <v>4105046.911058824</v>
      </c>
      <c r="F46" s="37"/>
      <c r="G46" s="37"/>
      <c r="H46" s="38">
        <f t="shared" si="6"/>
        <v>4346729.3266016813</v>
      </c>
      <c r="I46" s="37">
        <f t="shared" si="7"/>
        <v>869345.86532033631</v>
      </c>
      <c r="J46" s="438">
        <f>SUM(H46:I46)</f>
        <v>5216075.1919220174</v>
      </c>
      <c r="K46" s="205"/>
      <c r="L46" s="236"/>
    </row>
    <row r="47" spans="2:15" ht="15" customHeight="1">
      <c r="B47" s="429"/>
      <c r="C47" s="37" t="s">
        <v>64</v>
      </c>
      <c r="D47" s="38">
        <f>(D42*1.5)*0.8</f>
        <v>181261.81165714294</v>
      </c>
      <c r="E47" s="37"/>
      <c r="F47" s="37"/>
      <c r="G47" s="37"/>
      <c r="H47" s="38">
        <f>SUM(D47:G47)</f>
        <v>181261.81165714294</v>
      </c>
      <c r="I47" s="38">
        <f>SUM(H47)*0.2</f>
        <v>36252.362331428587</v>
      </c>
      <c r="J47" s="438">
        <f>SUM(H47:I47)</f>
        <v>217514.17398857154</v>
      </c>
      <c r="K47" s="205"/>
      <c r="L47" s="236"/>
    </row>
    <row r="48" spans="2:15" ht="15" customHeight="1">
      <c r="B48" s="429"/>
      <c r="C48" s="37" t="s">
        <v>65</v>
      </c>
      <c r="D48" s="38">
        <f t="shared" ref="D48:G48" si="8">SUM(D43:D47)</f>
        <v>422944.2272000002</v>
      </c>
      <c r="E48" s="38">
        <f t="shared" si="8"/>
        <v>6903942.5322352946</v>
      </c>
      <c r="F48" s="38">
        <f t="shared" si="8"/>
        <v>634416.34080000012</v>
      </c>
      <c r="G48" s="38">
        <f t="shared" si="8"/>
        <v>13745687.384000003</v>
      </c>
      <c r="H48" s="38">
        <f>SUM(H43:H47)</f>
        <v>21706990.484235294</v>
      </c>
      <c r="I48" s="39">
        <f>SUM(I43:I47)+H48</f>
        <v>26048388.581082352</v>
      </c>
      <c r="J48" s="430" t="s">
        <v>66</v>
      </c>
      <c r="K48" s="205"/>
      <c r="L48" s="236"/>
    </row>
    <row r="49" spans="2:12" ht="15" customHeight="1">
      <c r="B49" s="235"/>
      <c r="C49" s="205"/>
      <c r="D49" s="205"/>
      <c r="E49" s="205"/>
      <c r="F49" s="205"/>
      <c r="G49" s="205"/>
      <c r="H49" s="439"/>
      <c r="I49" s="440"/>
      <c r="J49" s="205"/>
      <c r="K49" s="205"/>
      <c r="L49" s="236"/>
    </row>
    <row r="50" spans="2:12" ht="15" customHeight="1">
      <c r="B50" s="235"/>
      <c r="C50" s="205"/>
      <c r="D50" s="205"/>
      <c r="E50" s="205"/>
      <c r="F50" s="205"/>
      <c r="G50" s="205"/>
      <c r="H50" s="360" t="s">
        <v>36</v>
      </c>
      <c r="I50" s="441">
        <f>SUM(I48)</f>
        <v>26048388.581082352</v>
      </c>
      <c r="J50" s="205" t="s">
        <v>18</v>
      </c>
      <c r="K50" s="439">
        <v>0.1</v>
      </c>
      <c r="L50" s="442" t="s">
        <v>37</v>
      </c>
    </row>
    <row r="51" spans="2:12" ht="15" customHeight="1" thickBot="1">
      <c r="B51" s="177"/>
      <c r="C51" s="237"/>
      <c r="D51" s="237"/>
      <c r="E51" s="443"/>
      <c r="F51" s="443"/>
      <c r="G51" s="237"/>
      <c r="H51" s="237"/>
      <c r="I51" s="237"/>
      <c r="J51" s="237"/>
      <c r="K51" s="444">
        <f ca="1">IF([1]Summary!$M$8="Y",K50-2*RAND()*K50,0)</f>
        <v>0</v>
      </c>
      <c r="L51" s="445" t="s">
        <v>231</v>
      </c>
    </row>
  </sheetData>
  <mergeCells count="4">
    <mergeCell ref="M6:O6"/>
    <mergeCell ref="E7:F7"/>
    <mergeCell ref="E8:F8"/>
    <mergeCell ref="J36:L3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1B759-483E-432F-93A9-4BDEA0386997}">
  <dimension ref="B1:AB65"/>
  <sheetViews>
    <sheetView topLeftCell="V1" zoomScale="115" zoomScaleNormal="115" workbookViewId="0">
      <selection activeCell="L17" sqref="L17"/>
    </sheetView>
  </sheetViews>
  <sheetFormatPr defaultColWidth="8.7109375" defaultRowHeight="15" customHeight="1"/>
  <cols>
    <col min="1" max="1" width="4.7109375" style="8" customWidth="1"/>
    <col min="2" max="4" width="7.7109375" style="8" customWidth="1"/>
    <col min="5" max="6" width="15.140625" style="8" customWidth="1"/>
    <col min="7" max="8" width="6.7109375" style="41" customWidth="1"/>
    <col min="9" max="9" width="11.7109375" style="41" customWidth="1"/>
    <col min="10" max="11" width="7.28515625" style="41" customWidth="1"/>
    <col min="12" max="12" width="11.7109375" style="41" customWidth="1"/>
    <col min="13" max="13" width="7.28515625" style="41" customWidth="1"/>
    <col min="14" max="14" width="12" style="41" bestFit="1" customWidth="1"/>
    <col min="15" max="15" width="6.5703125" style="41" bestFit="1" customWidth="1"/>
    <col min="16" max="17" width="7.28515625" style="41" customWidth="1"/>
    <col min="18" max="19" width="11.7109375" style="41" customWidth="1"/>
    <col min="20" max="20" width="10.140625" style="41" customWidth="1"/>
    <col min="21" max="23" width="11.7109375" style="41" customWidth="1"/>
    <col min="24" max="25" width="11.7109375" style="43" customWidth="1"/>
    <col min="26" max="28" width="11.7109375" style="41" customWidth="1"/>
    <col min="29" max="55" width="11.7109375" style="8" customWidth="1"/>
    <col min="56" max="16384" width="8.7109375" style="8"/>
  </cols>
  <sheetData>
    <row r="1" spans="2:28" thickBot="1">
      <c r="M1" s="42"/>
      <c r="N1" s="42"/>
      <c r="O1" s="42"/>
      <c r="P1" s="42"/>
    </row>
    <row r="2" spans="2:28" ht="15" customHeight="1">
      <c r="B2" s="313" t="s">
        <v>38</v>
      </c>
      <c r="C2" s="244"/>
      <c r="D2" s="244"/>
      <c r="E2" s="244"/>
      <c r="F2" s="244"/>
      <c r="G2" s="202"/>
      <c r="H2" s="202"/>
      <c r="I2" s="355"/>
      <c r="J2" s="202"/>
      <c r="K2" s="356" t="s">
        <v>189</v>
      </c>
      <c r="L2" s="356"/>
      <c r="M2" s="357"/>
      <c r="N2" s="357"/>
      <c r="O2" s="357"/>
      <c r="P2" s="357"/>
      <c r="Q2" s="202"/>
      <c r="R2" s="202"/>
      <c r="S2" s="202"/>
      <c r="T2" s="202"/>
      <c r="U2" s="202"/>
      <c r="V2" s="202"/>
      <c r="W2" s="202"/>
      <c r="X2" s="358"/>
      <c r="Y2" s="359"/>
    </row>
    <row r="3" spans="2:28" ht="14.25">
      <c r="B3" s="246"/>
      <c r="C3" s="360"/>
      <c r="D3" s="205"/>
      <c r="E3" s="205"/>
      <c r="F3" s="205"/>
      <c r="G3" s="361"/>
      <c r="H3" s="362" t="s">
        <v>236</v>
      </c>
      <c r="I3" s="362"/>
      <c r="J3" s="361"/>
      <c r="K3" s="363"/>
      <c r="L3" s="363"/>
      <c r="M3" s="364"/>
      <c r="N3" s="363" t="s">
        <v>224</v>
      </c>
      <c r="O3" s="363"/>
      <c r="P3" s="364"/>
      <c r="Q3" s="362" t="s">
        <v>39</v>
      </c>
      <c r="R3" s="362"/>
      <c r="S3" s="361"/>
      <c r="T3" s="362" t="s">
        <v>40</v>
      </c>
      <c r="U3" s="362"/>
      <c r="V3" s="362"/>
      <c r="W3" s="362"/>
      <c r="X3" s="365"/>
      <c r="Y3" s="366"/>
    </row>
    <row r="4" spans="2:28" ht="14.25">
      <c r="B4" s="246" t="s">
        <v>148</v>
      </c>
      <c r="C4" s="205"/>
      <c r="D4" s="205"/>
      <c r="E4" s="205"/>
      <c r="F4" s="205"/>
      <c r="G4" s="361"/>
      <c r="H4" s="361"/>
      <c r="I4" s="361" t="s">
        <v>178</v>
      </c>
      <c r="J4" s="361"/>
      <c r="K4" s="361"/>
      <c r="L4" s="367" t="s">
        <v>191</v>
      </c>
      <c r="M4" s="368"/>
      <c r="N4" s="363"/>
      <c r="O4" s="363"/>
      <c r="P4" s="368"/>
      <c r="Q4" s="361"/>
      <c r="R4" s="361" t="s">
        <v>42</v>
      </c>
      <c r="S4" s="361"/>
      <c r="T4" s="369" t="s">
        <v>217</v>
      </c>
      <c r="U4" s="361" t="s">
        <v>43</v>
      </c>
      <c r="V4" s="361" t="s">
        <v>44</v>
      </c>
      <c r="W4" s="361" t="s">
        <v>45</v>
      </c>
      <c r="X4" s="365"/>
      <c r="Y4" s="366"/>
    </row>
    <row r="5" spans="2:28">
      <c r="B5" s="235"/>
      <c r="C5" s="205"/>
      <c r="D5" s="205"/>
      <c r="E5" s="205"/>
      <c r="F5" s="205"/>
      <c r="G5" s="361"/>
      <c r="H5" s="152" t="s">
        <v>139</v>
      </c>
      <c r="I5" s="153">
        <v>7.08</v>
      </c>
      <c r="J5" s="369"/>
      <c r="K5" s="361" t="s">
        <v>190</v>
      </c>
      <c r="L5" s="370">
        <v>0.45</v>
      </c>
      <c r="M5" s="367"/>
      <c r="N5" s="371" t="s">
        <v>226</v>
      </c>
      <c r="O5" s="372">
        <v>0.1</v>
      </c>
      <c r="P5" s="367"/>
      <c r="Q5" s="361" t="s">
        <v>46</v>
      </c>
      <c r="R5" s="371">
        <v>1</v>
      </c>
      <c r="S5" s="371"/>
      <c r="T5" s="369" t="s">
        <v>0</v>
      </c>
      <c r="U5" s="361">
        <v>60</v>
      </c>
      <c r="V5" s="371">
        <f>(U5-30)/U5</f>
        <v>0.5</v>
      </c>
      <c r="W5" s="373">
        <f>Costs!I7*Benefits!V5</f>
        <v>13024194.290541178</v>
      </c>
      <c r="X5" s="374"/>
      <c r="Y5" s="366"/>
    </row>
    <row r="6" spans="2:28">
      <c r="B6" s="235"/>
      <c r="C6" s="205"/>
      <c r="D6" s="205"/>
      <c r="E6" s="205"/>
      <c r="F6" s="205"/>
      <c r="G6" s="361"/>
      <c r="H6" s="152" t="s">
        <v>140</v>
      </c>
      <c r="I6" s="153">
        <v>6.31</v>
      </c>
      <c r="J6" s="369"/>
      <c r="K6" s="361"/>
      <c r="L6" s="370"/>
      <c r="M6" s="367"/>
      <c r="N6" s="371" t="s">
        <v>225</v>
      </c>
      <c r="O6" s="372">
        <v>1.42</v>
      </c>
      <c r="P6" s="367"/>
      <c r="Q6" s="375" t="s">
        <v>18</v>
      </c>
      <c r="R6" s="371">
        <v>0.1</v>
      </c>
      <c r="S6" s="371"/>
      <c r="T6" s="369" t="s">
        <v>33</v>
      </c>
      <c r="U6" s="361">
        <v>60</v>
      </c>
      <c r="V6" s="371">
        <f>(U6-30)/U6</f>
        <v>0.5</v>
      </c>
      <c r="W6" s="373">
        <f>Costs!J7*Benefits!V6</f>
        <v>12895241.871822949</v>
      </c>
      <c r="X6" s="374"/>
      <c r="Y6" s="376"/>
      <c r="Z6" s="8"/>
      <c r="AA6" s="8"/>
      <c r="AB6" s="8"/>
    </row>
    <row r="7" spans="2:28" ht="14.25">
      <c r="B7" s="235"/>
      <c r="C7" s="205"/>
      <c r="D7" s="205"/>
      <c r="E7" s="205"/>
      <c r="F7" s="205"/>
      <c r="G7" s="361"/>
      <c r="H7" s="371" t="s">
        <v>168</v>
      </c>
      <c r="I7" s="377">
        <v>1E-3</v>
      </c>
      <c r="J7" s="369"/>
      <c r="K7" s="371" t="s">
        <v>168</v>
      </c>
      <c r="L7" s="377">
        <v>1E-3</v>
      </c>
      <c r="M7" s="367"/>
      <c r="N7" s="371" t="s">
        <v>168</v>
      </c>
      <c r="O7" s="377">
        <v>1E-3</v>
      </c>
      <c r="P7" s="367"/>
      <c r="Q7" s="361" t="s">
        <v>47</v>
      </c>
      <c r="R7" s="371">
        <f ca="1">IF([1]Summary!$M$8="Y",R5+2*(RAND()-0.5)*R6,R5)</f>
        <v>1</v>
      </c>
      <c r="S7" s="371"/>
      <c r="T7" s="369" t="s">
        <v>1</v>
      </c>
      <c r="U7" s="361">
        <v>60</v>
      </c>
      <c r="V7" s="371">
        <v>0.5</v>
      </c>
      <c r="W7" s="373">
        <f>Costs!K7*Benefits!V7</f>
        <v>10282562.710904654</v>
      </c>
      <c r="X7" s="374"/>
      <c r="Y7" s="376"/>
      <c r="Z7" s="8"/>
      <c r="AA7" s="8"/>
      <c r="AB7" s="8"/>
    </row>
    <row r="8" spans="2:28" ht="14.25">
      <c r="B8" s="235"/>
      <c r="C8" s="205"/>
      <c r="D8" s="205" t="s">
        <v>48</v>
      </c>
      <c r="E8" s="378">
        <f>SUM(E12:E35)</f>
        <v>44028741.48996599</v>
      </c>
      <c r="F8" s="378">
        <f>SUM(F12:F35)</f>
        <v>18295675.892132316</v>
      </c>
      <c r="G8" s="361"/>
      <c r="H8" s="375" t="s">
        <v>169</v>
      </c>
      <c r="I8" s="377">
        <v>2E-3</v>
      </c>
      <c r="J8" s="379"/>
      <c r="K8" s="375" t="s">
        <v>169</v>
      </c>
      <c r="L8" s="377">
        <v>2E-3</v>
      </c>
      <c r="M8" s="379" t="s">
        <v>49</v>
      </c>
      <c r="N8" s="375" t="s">
        <v>169</v>
      </c>
      <c r="O8" s="377">
        <v>2E-3</v>
      </c>
      <c r="P8" s="379"/>
      <c r="Q8" s="380" t="s">
        <v>218</v>
      </c>
      <c r="R8" s="380"/>
      <c r="S8" s="381"/>
      <c r="T8" s="361"/>
      <c r="U8" s="361"/>
      <c r="V8" s="373" t="s">
        <v>35</v>
      </c>
      <c r="W8" s="373">
        <f>W5</f>
        <v>13024194.290541178</v>
      </c>
      <c r="X8" s="365"/>
      <c r="Y8" s="376"/>
      <c r="Z8" s="8"/>
      <c r="AA8" s="8"/>
      <c r="AB8" s="8"/>
    </row>
    <row r="9" spans="2:28" ht="14.25">
      <c r="B9" s="235"/>
      <c r="C9" s="205"/>
      <c r="D9" s="205"/>
      <c r="E9" s="205"/>
      <c r="F9" s="205"/>
      <c r="G9" s="361"/>
      <c r="H9" s="361" t="s">
        <v>47</v>
      </c>
      <c r="I9" s="377">
        <f ca="1">IF(Summary!$M$8="Y",I7+2*(RAND()-0.5)*I8,I7)</f>
        <v>1E-3</v>
      </c>
      <c r="J9" s="379"/>
      <c r="K9" s="361" t="s">
        <v>47</v>
      </c>
      <c r="L9" s="377">
        <f ca="1">IF(Summary!$M$8="Y",L7+2*(RAND()-0.5)*L8,L7)</f>
        <v>1E-3</v>
      </c>
      <c r="M9" s="379" t="s">
        <v>49</v>
      </c>
      <c r="N9" s="361" t="s">
        <v>47</v>
      </c>
      <c r="O9" s="377">
        <f ca="1">IF(Summary!$M$8="Y",O7+2*(RAND()-0.5)*O8,O7)</f>
        <v>1E-3</v>
      </c>
      <c r="P9" s="379"/>
      <c r="Q9" s="380"/>
      <c r="R9" s="380"/>
      <c r="S9" s="381"/>
      <c r="T9" s="205"/>
      <c r="U9" s="205"/>
      <c r="V9" s="205"/>
      <c r="W9" s="361"/>
      <c r="X9" s="382"/>
      <c r="Y9" s="376"/>
      <c r="Z9" s="8"/>
      <c r="AA9" s="8"/>
      <c r="AB9" s="8"/>
    </row>
    <row r="10" spans="2:28" ht="14.25">
      <c r="B10" s="235"/>
      <c r="C10" s="205"/>
      <c r="D10" s="205"/>
      <c r="E10" s="383"/>
      <c r="F10" s="384"/>
      <c r="G10" s="361"/>
      <c r="H10" s="361"/>
      <c r="I10" s="361"/>
      <c r="J10" s="361"/>
      <c r="K10" s="361"/>
      <c r="L10" s="361"/>
      <c r="M10" s="361"/>
      <c r="N10" s="361"/>
      <c r="O10" s="361"/>
      <c r="P10" s="361"/>
      <c r="Q10" s="361"/>
      <c r="R10" s="361"/>
      <c r="S10" s="361"/>
      <c r="T10" s="361"/>
      <c r="U10" s="385" t="s">
        <v>50</v>
      </c>
      <c r="V10" s="385" t="s">
        <v>51</v>
      </c>
      <c r="W10" s="361"/>
      <c r="X10" s="386" t="s">
        <v>52</v>
      </c>
      <c r="Y10" s="387"/>
    </row>
    <row r="11" spans="2:28" ht="21">
      <c r="B11" s="235" t="s">
        <v>9</v>
      </c>
      <c r="C11" s="205" t="s">
        <v>9</v>
      </c>
      <c r="D11" s="205"/>
      <c r="E11" s="205" t="s">
        <v>33</v>
      </c>
      <c r="F11" s="205" t="s">
        <v>1</v>
      </c>
      <c r="G11" s="361"/>
      <c r="H11" s="361"/>
      <c r="I11" s="385" t="s">
        <v>69</v>
      </c>
      <c r="J11" s="361"/>
      <c r="K11" s="361"/>
      <c r="L11" s="385" t="s">
        <v>69</v>
      </c>
      <c r="M11" s="385"/>
      <c r="N11" s="385"/>
      <c r="O11" s="385" t="s">
        <v>69</v>
      </c>
      <c r="P11" s="385"/>
      <c r="Q11" s="361"/>
      <c r="R11" s="385" t="s">
        <v>69</v>
      </c>
      <c r="S11" s="385"/>
      <c r="T11" s="361"/>
      <c r="U11" s="385" t="s">
        <v>0</v>
      </c>
      <c r="V11" s="385" t="s">
        <v>0</v>
      </c>
      <c r="W11" s="361"/>
      <c r="X11" s="388" t="s">
        <v>50</v>
      </c>
      <c r="Y11" s="389" t="s">
        <v>51</v>
      </c>
    </row>
    <row r="12" spans="2:28" ht="14.25">
      <c r="B12" s="235">
        <v>0</v>
      </c>
      <c r="C12" s="205">
        <v>2022</v>
      </c>
      <c r="D12" s="390"/>
      <c r="E12" s="390">
        <f>SUM(I12:R12)+SUM(U12:V12)*[1]Assumptions!$C$15</f>
        <v>0</v>
      </c>
      <c r="F12" s="390">
        <f>E12*[1]Assumptions!D16</f>
        <v>0</v>
      </c>
      <c r="G12" s="361"/>
      <c r="H12" s="391"/>
      <c r="I12" s="373">
        <v>0</v>
      </c>
      <c r="J12" s="392"/>
      <c r="K12" s="391"/>
      <c r="L12" s="373">
        <v>0</v>
      </c>
      <c r="M12" s="373"/>
      <c r="N12" s="373"/>
      <c r="O12" s="373"/>
      <c r="P12" s="373"/>
      <c r="Q12" s="391"/>
      <c r="R12" s="373">
        <v>0</v>
      </c>
      <c r="S12" s="373"/>
      <c r="T12" s="391"/>
      <c r="U12" s="373">
        <v>0</v>
      </c>
      <c r="V12" s="373">
        <v>0</v>
      </c>
      <c r="W12" s="361"/>
      <c r="X12" s="393">
        <f>U12*[1]Assumptions!$D16*[1]Assumptions!$C$15</f>
        <v>0</v>
      </c>
      <c r="Y12" s="394">
        <f>V12*Assumptions!$D16*Assumptions!$C$15</f>
        <v>0</v>
      </c>
    </row>
    <row r="13" spans="2:28" ht="14.25">
      <c r="B13" s="235">
        <f>B12+1</f>
        <v>1</v>
      </c>
      <c r="C13" s="205">
        <f>C12+1</f>
        <v>2023</v>
      </c>
      <c r="D13" s="390"/>
      <c r="E13" s="390">
        <f>SUM(I13:R13)+SUM(U13:V13)*[1]Assumptions!$C$15</f>
        <v>0</v>
      </c>
      <c r="F13" s="390">
        <f>E13*[1]Assumptions!D17</f>
        <v>0</v>
      </c>
      <c r="G13" s="361"/>
      <c r="H13" s="391"/>
      <c r="I13" s="373">
        <v>0</v>
      </c>
      <c r="J13" s="392"/>
      <c r="K13" s="391"/>
      <c r="L13" s="373">
        <v>0</v>
      </c>
      <c r="M13" s="373"/>
      <c r="N13" s="373"/>
      <c r="O13" s="373"/>
      <c r="P13" s="373"/>
      <c r="Q13" s="391"/>
      <c r="R13" s="373">
        <f>-[1]Assumptions!N17*[1]Assumptions!$R$14*(1+[1]Benefits!O$7)</f>
        <v>0</v>
      </c>
      <c r="S13" s="373"/>
      <c r="T13" s="391"/>
      <c r="U13" s="373">
        <v>0</v>
      </c>
      <c r="V13" s="373">
        <v>0</v>
      </c>
      <c r="W13" s="361"/>
      <c r="X13" s="393">
        <f>U13*[1]Assumptions!$D17*[1]Assumptions!$C$15</f>
        <v>0</v>
      </c>
      <c r="Y13" s="394">
        <f>V13*Assumptions!$D17*Assumptions!$C$15</f>
        <v>0</v>
      </c>
    </row>
    <row r="14" spans="2:28" ht="14.25">
      <c r="B14" s="235">
        <f t="shared" ref="B14:C29" si="0">B13+1</f>
        <v>2</v>
      </c>
      <c r="C14" s="205">
        <f t="shared" si="0"/>
        <v>2024</v>
      </c>
      <c r="D14" s="390"/>
      <c r="E14" s="395">
        <f>SUM(I14:R14)+SUM(U14:V14)*Assumptions!$C$15</f>
        <v>0</v>
      </c>
      <c r="F14" s="390">
        <f>E14*Assumptions!D18</f>
        <v>0</v>
      </c>
      <c r="G14" s="361"/>
      <c r="H14" s="391"/>
      <c r="I14" s="373">
        <v>0</v>
      </c>
      <c r="J14" s="392"/>
      <c r="K14" s="391"/>
      <c r="L14" s="373">
        <v>0</v>
      </c>
      <c r="M14" s="373"/>
      <c r="N14" s="373"/>
      <c r="O14" s="373"/>
      <c r="P14" s="373"/>
      <c r="Q14" s="391"/>
      <c r="R14" s="373">
        <v>0</v>
      </c>
      <c r="S14" s="373"/>
      <c r="T14" s="391"/>
      <c r="U14" s="373">
        <v>0</v>
      </c>
      <c r="V14" s="373">
        <v>0</v>
      </c>
      <c r="W14" s="361"/>
      <c r="X14" s="396">
        <f>U14*Assumptions!$D18*Assumptions!$C$15</f>
        <v>0</v>
      </c>
      <c r="Y14" s="394">
        <f>V14*Assumptions!$D18*Assumptions!$C$15</f>
        <v>0</v>
      </c>
    </row>
    <row r="15" spans="2:28" ht="14.25">
      <c r="B15" s="235">
        <f t="shared" si="0"/>
        <v>3</v>
      </c>
      <c r="C15" s="205">
        <f t="shared" si="0"/>
        <v>2025</v>
      </c>
      <c r="D15" s="390"/>
      <c r="E15" s="395">
        <f>SUM(I15:R15)+SUM(U15:V15)*Assumptions!$C$15</f>
        <v>0</v>
      </c>
      <c r="F15" s="390">
        <f>E15*Assumptions!D19</f>
        <v>0</v>
      </c>
      <c r="G15" s="361"/>
      <c r="H15" s="391"/>
      <c r="I15" s="373">
        <v>0</v>
      </c>
      <c r="J15" s="392"/>
      <c r="K15" s="391"/>
      <c r="L15" s="373">
        <v>0</v>
      </c>
      <c r="M15" s="373"/>
      <c r="N15" s="373"/>
      <c r="O15" s="373"/>
      <c r="P15" s="373"/>
      <c r="Q15" s="391"/>
      <c r="R15" s="373">
        <v>0</v>
      </c>
      <c r="S15" s="373"/>
      <c r="T15" s="391"/>
      <c r="U15" s="373">
        <v>0</v>
      </c>
      <c r="V15" s="373">
        <v>0</v>
      </c>
      <c r="W15" s="361"/>
      <c r="X15" s="393">
        <f>U15*Assumptions!$D19*Assumptions!$C$15</f>
        <v>0</v>
      </c>
      <c r="Y15" s="394">
        <f>V15*Assumptions!$D19*Assumptions!$C$15</f>
        <v>0</v>
      </c>
    </row>
    <row r="16" spans="2:28" ht="14.25">
      <c r="B16" s="235">
        <f t="shared" si="0"/>
        <v>4</v>
      </c>
      <c r="C16" s="205">
        <f t="shared" si="0"/>
        <v>2026</v>
      </c>
      <c r="D16" s="390"/>
      <c r="E16" s="395">
        <f>SUM(I16:R16)+SUM(U16:V16)*Assumptions!$C$15</f>
        <v>0</v>
      </c>
      <c r="F16" s="390">
        <f>E16*Assumptions!D20</f>
        <v>0</v>
      </c>
      <c r="G16" s="361"/>
      <c r="H16" s="391"/>
      <c r="I16" s="373">
        <v>0</v>
      </c>
      <c r="J16" s="392"/>
      <c r="K16" s="391"/>
      <c r="L16" s="373">
        <v>0</v>
      </c>
      <c r="M16" s="373"/>
      <c r="N16" s="373"/>
      <c r="O16" s="373"/>
      <c r="P16" s="373"/>
      <c r="Q16" s="391"/>
      <c r="R16" s="373">
        <v>0</v>
      </c>
      <c r="S16" s="373"/>
      <c r="T16" s="391"/>
      <c r="U16" s="373">
        <v>0</v>
      </c>
      <c r="V16" s="373">
        <v>0</v>
      </c>
      <c r="W16" s="361"/>
      <c r="X16" s="396">
        <f>U16*Assumptions!$D20*Assumptions!$C$15</f>
        <v>0</v>
      </c>
      <c r="Y16" s="394">
        <f>V16*Assumptions!$D20*Assumptions!$C$15</f>
        <v>0</v>
      </c>
    </row>
    <row r="17" spans="2:25" ht="14.25">
      <c r="B17" s="235">
        <f t="shared" si="0"/>
        <v>5</v>
      </c>
      <c r="C17" s="205">
        <f t="shared" si="0"/>
        <v>2027</v>
      </c>
      <c r="D17" s="390"/>
      <c r="E17" s="395">
        <f>SUM(I17:R17)+SUM(U17:V17)</f>
        <v>2329659.5384</v>
      </c>
      <c r="F17" s="390">
        <f>E17*Assumptions!D21</f>
        <v>1661015.0537815024</v>
      </c>
      <c r="G17" s="361"/>
      <c r="H17" s="391"/>
      <c r="I17" s="373">
        <f>(I5*Assumptions!M21)+(Assumptions!L21*Benefits!I6+0.09)</f>
        <v>4106.28</v>
      </c>
      <c r="J17" s="392"/>
      <c r="K17" s="391"/>
      <c r="L17" s="373">
        <f>L5*Assumptions!K21</f>
        <v>267.3</v>
      </c>
      <c r="M17" s="373"/>
      <c r="N17" s="373"/>
      <c r="O17" s="373">
        <f>((O5*0.86)*Assumptions!M21)+(Assumptions!L21*(2.38*Benefits!O6))</f>
        <v>475.95839999999993</v>
      </c>
      <c r="P17" s="373"/>
      <c r="Q17" s="391"/>
      <c r="R17" s="373">
        <f>Assumptions!AA14*R5</f>
        <v>2334810</v>
      </c>
      <c r="S17" s="373"/>
      <c r="T17" s="391"/>
      <c r="U17" s="373">
        <v>-10000</v>
      </c>
      <c r="V17" s="373">
        <v>0</v>
      </c>
      <c r="W17" s="361"/>
      <c r="X17" s="396">
        <f>U17*Assumptions!$D21*Assumptions!$C$16</f>
        <v>-6989.3753502957388</v>
      </c>
      <c r="Y17" s="394">
        <f>V17*Assumptions!$D21*Assumptions!$C$15</f>
        <v>0</v>
      </c>
    </row>
    <row r="18" spans="2:25" ht="14.25">
      <c r="B18" s="235">
        <f t="shared" si="0"/>
        <v>6</v>
      </c>
      <c r="C18" s="205">
        <f t="shared" si="0"/>
        <v>2028</v>
      </c>
      <c r="D18" s="390"/>
      <c r="E18" s="395">
        <f>SUM(I18:R18)+SUM(U18:V18)</f>
        <v>2330158.4230214441</v>
      </c>
      <c r="F18" s="390">
        <f>E18*Assumptions!D22</f>
        <v>1552682.945440887</v>
      </c>
      <c r="G18" s="361"/>
      <c r="H18" s="391"/>
      <c r="I18" s="373">
        <f>(I5*Assumptions!M22)+(Assumptions!L22*Benefits!I6+0.09)</f>
        <v>4528.7022787334781</v>
      </c>
      <c r="J18" s="392"/>
      <c r="K18" s="391"/>
      <c r="L18" s="373">
        <f>L5*Assumptions!K22</f>
        <v>294.79835616604657</v>
      </c>
      <c r="M18" s="373"/>
      <c r="N18" s="373"/>
      <c r="O18" s="373">
        <f>((O5*0.86)*Assumptions!M22)+(Assumptions!L22*(2.38*Benefits!O6))</f>
        <v>524.92238654478729</v>
      </c>
      <c r="P18" s="373"/>
      <c r="Q18" s="391"/>
      <c r="R18" s="373">
        <f>Assumptions!AA14*R5</f>
        <v>2334810</v>
      </c>
      <c r="S18" s="373"/>
      <c r="T18" s="391"/>
      <c r="U18" s="373">
        <v>-10000</v>
      </c>
      <c r="V18" s="373">
        <v>0</v>
      </c>
      <c r="W18" s="361"/>
      <c r="X18" s="396">
        <f>U18*Assumptions!$D22*Assumptions!$C$16</f>
        <v>-6532.1264956034947</v>
      </c>
      <c r="Y18" s="394">
        <f>V18*Assumptions!$D22*Assumptions!$C$15</f>
        <v>0</v>
      </c>
    </row>
    <row r="19" spans="2:25" ht="14.25">
      <c r="B19" s="235">
        <f t="shared" si="0"/>
        <v>7</v>
      </c>
      <c r="C19" s="205">
        <f t="shared" si="0"/>
        <v>2029</v>
      </c>
      <c r="D19" s="390"/>
      <c r="E19" s="395">
        <f>SUM(I19:R19)+SUM(U19:V19)*Assumptions!$C$15</f>
        <v>2330756.3175438787</v>
      </c>
      <c r="F19" s="390">
        <f>E19*Assumptions!D23</f>
        <v>1451477.8951463306</v>
      </c>
      <c r="G19" s="361"/>
      <c r="H19" s="391"/>
      <c r="I19" s="373">
        <f>(I5*Assumptions!M23)+(Assumptions!L23*Benefits!I6+0.09)</f>
        <v>4951.1245574669565</v>
      </c>
      <c r="J19" s="392"/>
      <c r="K19" s="391"/>
      <c r="L19" s="373">
        <f>L5*Assumptions!K23</f>
        <v>322.29671233209314</v>
      </c>
      <c r="M19" s="373"/>
      <c r="N19" s="373"/>
      <c r="O19" s="373">
        <f>((O5*0.86)*Assumptions!M23)+(Assumptions!L23*(2.38*Benefits!O6))</f>
        <v>573.88637308957459</v>
      </c>
      <c r="P19" s="373"/>
      <c r="Q19" s="391"/>
      <c r="R19" s="373">
        <f>Assumptions!AA14*R5</f>
        <v>2334810</v>
      </c>
      <c r="S19" s="373"/>
      <c r="T19" s="391"/>
      <c r="U19" s="373">
        <v>-10000</v>
      </c>
      <c r="V19" s="373">
        <v>0</v>
      </c>
      <c r="W19" s="361"/>
      <c r="X19" s="396">
        <f>U19*Assumptions!$D23*Assumptions!$C$16</f>
        <v>-6104.7911173864431</v>
      </c>
      <c r="Y19" s="394">
        <f>V19*Assumptions!$D23*Assumptions!$C$15</f>
        <v>0</v>
      </c>
    </row>
    <row r="20" spans="2:25" ht="14.25">
      <c r="B20" s="235">
        <f t="shared" si="0"/>
        <v>8</v>
      </c>
      <c r="C20" s="205">
        <f t="shared" si="0"/>
        <v>2030</v>
      </c>
      <c r="D20" s="390"/>
      <c r="E20" s="395">
        <f>SUM(I20:R20)+SUM(U20:V20)*Assumptions!$C$15</f>
        <v>2331255.2021653228</v>
      </c>
      <c r="F20" s="390">
        <f>E20*Assumptions!D24</f>
        <v>1356811.752724827</v>
      </c>
      <c r="G20" s="361"/>
      <c r="H20" s="391"/>
      <c r="I20" s="373">
        <f>(I5*Assumptions!M24)+(Assumptions!L24*Benefits!I6+0.09)</f>
        <v>5373.546836200434</v>
      </c>
      <c r="J20" s="392"/>
      <c r="K20" s="391"/>
      <c r="L20" s="373">
        <f>L5*Assumptions!K24</f>
        <v>349.79506849813964</v>
      </c>
      <c r="M20" s="373"/>
      <c r="N20" s="373"/>
      <c r="O20" s="373">
        <f>((O5*0.86)*Assumptions!M24)+(Assumptions!L24*(2.38*Benefits!O6))</f>
        <v>622.85035963436189</v>
      </c>
      <c r="P20" s="373"/>
      <c r="Q20" s="391"/>
      <c r="R20" s="373">
        <f>Assumptions!AA14*R5</f>
        <v>2334810</v>
      </c>
      <c r="S20" s="373"/>
      <c r="T20" s="391"/>
      <c r="U20" s="373">
        <v>-10000</v>
      </c>
      <c r="V20" s="373">
        <v>0</v>
      </c>
      <c r="W20" s="361"/>
      <c r="X20" s="396">
        <f>U20*Assumptions!$D24*Assumptions!$C$16</f>
        <v>-5705.412259239667</v>
      </c>
      <c r="Y20" s="394">
        <f>V20*Assumptions!$D24*Assumptions!$C$15</f>
        <v>0</v>
      </c>
    </row>
    <row r="21" spans="2:25" ht="14.25">
      <c r="B21" s="235">
        <f t="shared" si="0"/>
        <v>9</v>
      </c>
      <c r="C21" s="205">
        <f t="shared" si="0"/>
        <v>2031</v>
      </c>
      <c r="D21" s="390"/>
      <c r="E21" s="395">
        <f>SUM(I21:R21)+SUM(U21:V21)*Assumptions!$C$15</f>
        <v>2316902.6016382524</v>
      </c>
      <c r="F21" s="390">
        <f>E21*Assumptions!D25</f>
        <v>1260241.5033120441</v>
      </c>
      <c r="G21" s="361"/>
      <c r="H21" s="391"/>
      <c r="I21" s="373">
        <f>(I5*Assumptions!M25)+(Assumptions!L25*Benefits!I6+0.09)</f>
        <v>5795.9691149339133</v>
      </c>
      <c r="J21" s="392"/>
      <c r="K21" s="391"/>
      <c r="L21" s="373">
        <f>L5*Assumptions!K25</f>
        <v>377.2934246641862</v>
      </c>
      <c r="M21" s="373"/>
      <c r="N21" s="373"/>
      <c r="O21" s="373">
        <f>((O5*0.86)*Assumptions!M25)+(Assumptions!L25*(2.38*Benefits!O6))</f>
        <v>671.8143461791492</v>
      </c>
      <c r="P21" s="373"/>
      <c r="Q21" s="391"/>
      <c r="R21" s="373">
        <f>Assumptions!AA14*R5</f>
        <v>2334810</v>
      </c>
      <c r="S21" s="373"/>
      <c r="T21" s="391"/>
      <c r="U21" s="373">
        <v>-25000</v>
      </c>
      <c r="V21" s="373">
        <v>0</v>
      </c>
      <c r="W21" s="361"/>
      <c r="X21" s="396">
        <f>U21*Assumptions!$D25*Assumptions!$C$16</f>
        <v>-13330.402474859035</v>
      </c>
      <c r="Y21" s="394">
        <f>V21*Assumptions!$D25*Assumptions!$C$15</f>
        <v>0</v>
      </c>
    </row>
    <row r="22" spans="2:25" ht="14.25">
      <c r="B22" s="235">
        <f t="shared" si="0"/>
        <v>10</v>
      </c>
      <c r="C22" s="205">
        <f t="shared" si="0"/>
        <v>2032</v>
      </c>
      <c r="D22" s="390"/>
      <c r="E22" s="395">
        <f>SUM(I22:R22)+SUM(U22:V22)*Assumptions!$C$15</f>
        <v>2317401.486259697</v>
      </c>
      <c r="F22" s="390">
        <f>E22*Assumptions!D26</f>
        <v>1178049.4051320599</v>
      </c>
      <c r="G22" s="361"/>
      <c r="H22" s="391"/>
      <c r="I22" s="373">
        <f>(I5*Assumptions!M26)+(Assumptions!L26*Benefits!I6+0.09)</f>
        <v>6218.3913936673916</v>
      </c>
      <c r="J22" s="392"/>
      <c r="K22" s="391"/>
      <c r="L22" s="373">
        <f>L5*Assumptions!K26</f>
        <v>404.79178083023277</v>
      </c>
      <c r="M22" s="373"/>
      <c r="N22" s="373"/>
      <c r="O22" s="373">
        <f>((O5*0.86)*Assumptions!M26)+(Assumptions!L26*(2.38*Benefits!O6))</f>
        <v>720.7783327239365</v>
      </c>
      <c r="P22" s="373"/>
      <c r="Q22" s="391"/>
      <c r="R22" s="373">
        <f>Assumptions!AA14*R5</f>
        <v>2334810</v>
      </c>
      <c r="S22" s="373"/>
      <c r="T22" s="391"/>
      <c r="U22" s="373">
        <v>-25000</v>
      </c>
      <c r="V22" s="373">
        <v>0</v>
      </c>
      <c r="W22" s="361"/>
      <c r="X22" s="396">
        <f>U22*Assumptions!$D26*Assumptions!$C$16</f>
        <v>-12458.320069961715</v>
      </c>
      <c r="Y22" s="394">
        <f>V22*Assumptions!$D26*Assumptions!$C$15</f>
        <v>0</v>
      </c>
    </row>
    <row r="23" spans="2:25" ht="14.25">
      <c r="B23" s="235">
        <f t="shared" si="0"/>
        <v>11</v>
      </c>
      <c r="C23" s="205">
        <f t="shared" si="0"/>
        <v>2033</v>
      </c>
      <c r="D23" s="390"/>
      <c r="E23" s="395">
        <f>SUM(I23:R23)+SUM(U23:V23)*Assumptions!$C$15</f>
        <v>2317900.3708811412</v>
      </c>
      <c r="F23" s="390">
        <f>E23*Assumptions!D27</f>
        <v>1101217.7689497457</v>
      </c>
      <c r="G23" s="361"/>
      <c r="H23" s="391"/>
      <c r="I23" s="373">
        <f>(I5*Assumptions!M27)+(Assumptions!L27*Benefits!I6+0.09)</f>
        <v>6640.81367240087</v>
      </c>
      <c r="J23" s="392"/>
      <c r="K23" s="391"/>
      <c r="L23" s="373">
        <f>L5*Assumptions!K27</f>
        <v>432.29013699627933</v>
      </c>
      <c r="M23" s="373"/>
      <c r="N23" s="373"/>
      <c r="O23" s="373">
        <f>((O5*0.86)*Assumptions!M27)+(Assumptions!L27*(2.38*Benefits!O6))</f>
        <v>769.7423192687238</v>
      </c>
      <c r="P23" s="373"/>
      <c r="Q23" s="391"/>
      <c r="R23" s="373">
        <f>Assumptions!AA14*R5</f>
        <v>2334810</v>
      </c>
      <c r="S23" s="373"/>
      <c r="T23" s="391"/>
      <c r="U23" s="373">
        <v>-25000</v>
      </c>
      <c r="V23" s="373">
        <v>0</v>
      </c>
      <c r="W23" s="361"/>
      <c r="X23" s="396">
        <f>U23*Assumptions!$D27*Assumptions!$C$16</f>
        <v>-11643.289785010946</v>
      </c>
      <c r="Y23" s="394">
        <f>V23*Assumptions!$D27*Assumptions!$C$15</f>
        <v>0</v>
      </c>
    </row>
    <row r="24" spans="2:25" ht="14.25">
      <c r="B24" s="235">
        <f t="shared" si="0"/>
        <v>12</v>
      </c>
      <c r="C24" s="205">
        <f t="shared" si="0"/>
        <v>2034</v>
      </c>
      <c r="D24" s="390"/>
      <c r="E24" s="395">
        <f>SUM(I24:R24)+SUM(U24:V24)*Assumptions!$C$15</f>
        <v>2318399.2555025853</v>
      </c>
      <c r="F24" s="390">
        <f>E24*Assumptions!D28</f>
        <v>1029396.9957379649</v>
      </c>
      <c r="G24" s="361"/>
      <c r="H24" s="391"/>
      <c r="I24" s="373">
        <f>(I5*Assumptions!M28)+(Assumptions!L28*Benefits!I6+0.09)</f>
        <v>7063.2359511343475</v>
      </c>
      <c r="J24" s="392"/>
      <c r="K24" s="391"/>
      <c r="L24" s="373">
        <f>L5*Assumptions!K28</f>
        <v>459.78849316232589</v>
      </c>
      <c r="M24" s="373"/>
      <c r="N24" s="373"/>
      <c r="O24" s="373">
        <f>((O5*0.86)*Assumptions!M28)+(Assumptions!L28*(2.38*Benefits!O6))</f>
        <v>818.70630581351122</v>
      </c>
      <c r="P24" s="373"/>
      <c r="Q24" s="391"/>
      <c r="R24" s="373">
        <f>Assumptions!AA14*R5</f>
        <v>2334810</v>
      </c>
      <c r="S24" s="373"/>
      <c r="T24" s="391"/>
      <c r="U24" s="373">
        <v>-25000</v>
      </c>
      <c r="V24" s="373">
        <v>0</v>
      </c>
      <c r="W24" s="361"/>
      <c r="X24" s="396">
        <f>U24*Assumptions!$D28*Assumptions!$C$16</f>
        <v>-10881.57923832799</v>
      </c>
      <c r="Y24" s="394">
        <f>V24*Assumptions!$D28*Assumptions!$C$15</f>
        <v>0</v>
      </c>
    </row>
    <row r="25" spans="2:25" ht="14.25">
      <c r="B25" s="235">
        <f t="shared" si="0"/>
        <v>13</v>
      </c>
      <c r="C25" s="205">
        <f t="shared" si="0"/>
        <v>2035</v>
      </c>
      <c r="D25" s="390"/>
      <c r="E25" s="395">
        <f>SUM(I25:R25)+SUM(U25:V25)*Assumptions!$C$15</f>
        <v>2318898.1401240299</v>
      </c>
      <c r="F25" s="390">
        <f>E25*Assumptions!D29</f>
        <v>962260.28642632475</v>
      </c>
      <c r="G25" s="361"/>
      <c r="H25" s="391"/>
      <c r="I25" s="373">
        <f>(I5*Assumptions!M29)+(Assumptions!L29*Benefits!I6+0.09)</f>
        <v>7485.6582298678259</v>
      </c>
      <c r="J25" s="392"/>
      <c r="K25" s="391"/>
      <c r="L25" s="373">
        <f>L5*Assumptions!K29</f>
        <v>487.2868493283724</v>
      </c>
      <c r="M25" s="373"/>
      <c r="N25" s="373"/>
      <c r="O25" s="373">
        <f>((O5*0.86)*Assumptions!M29)+(Assumptions!L29*(2.38*Benefits!O6))</f>
        <v>867.67029235829852</v>
      </c>
      <c r="P25" s="373"/>
      <c r="Q25" s="391"/>
      <c r="R25" s="373">
        <f>Assumptions!AA14*R5</f>
        <v>2334810</v>
      </c>
      <c r="S25" s="373"/>
      <c r="T25" s="391"/>
      <c r="U25" s="373">
        <v>-25000</v>
      </c>
      <c r="V25" s="373">
        <v>0</v>
      </c>
      <c r="W25" s="361"/>
      <c r="X25" s="396">
        <f>U25*Assumptions!$D29*Assumptions!$C$16</f>
        <v>-10169.700222736437</v>
      </c>
      <c r="Y25" s="394">
        <f>V25*Assumptions!$D29*Assumptions!$C$15</f>
        <v>0</v>
      </c>
    </row>
    <row r="26" spans="2:25" ht="14.25">
      <c r="B26" s="235">
        <f t="shared" si="0"/>
        <v>14</v>
      </c>
      <c r="C26" s="205">
        <f t="shared" si="0"/>
        <v>2036</v>
      </c>
      <c r="D26" s="390"/>
      <c r="E26" s="395">
        <f>SUM(I26:R26)+SUM(U26:V26)*Assumptions!$C$15</f>
        <v>2319397.0247454741</v>
      </c>
      <c r="F26" s="390">
        <f>E26*Assumptions!D30</f>
        <v>899502.1549605818</v>
      </c>
      <c r="G26" s="361"/>
      <c r="H26" s="391"/>
      <c r="I26" s="373">
        <f>(I5*Assumptions!M30)+(Assumptions!L30*Benefits!I6+0.09)</f>
        <v>7908.0805086013042</v>
      </c>
      <c r="J26" s="392"/>
      <c r="K26" s="391"/>
      <c r="L26" s="373">
        <f>L5*Assumptions!K30</f>
        <v>514.78520549441896</v>
      </c>
      <c r="M26" s="373"/>
      <c r="N26" s="373"/>
      <c r="O26" s="373">
        <f>((O5*0.86)*Assumptions!M30)+(Assumptions!L30*(2.38*Benefits!O6))</f>
        <v>916.63427890308583</v>
      </c>
      <c r="P26" s="373"/>
      <c r="Q26" s="391"/>
      <c r="R26" s="373">
        <f>Assumptions!AA14*R5</f>
        <v>2334810</v>
      </c>
      <c r="S26" s="373"/>
      <c r="T26" s="391"/>
      <c r="U26" s="373">
        <v>-25000</v>
      </c>
      <c r="V26" s="373">
        <v>0</v>
      </c>
      <c r="W26" s="361"/>
      <c r="X26" s="396">
        <f>U26*Assumptions!$D30*Assumptions!$C$16</f>
        <v>-9504.3927315293822</v>
      </c>
      <c r="Y26" s="394">
        <f>V26*Assumptions!$D30*Assumptions!$C$15</f>
        <v>0</v>
      </c>
    </row>
    <row r="27" spans="2:25" ht="14.25">
      <c r="B27" s="235">
        <f t="shared" si="0"/>
        <v>15</v>
      </c>
      <c r="C27" s="205">
        <f t="shared" si="0"/>
        <v>2037</v>
      </c>
      <c r="D27" s="390"/>
      <c r="E27" s="395">
        <f>SUM(I27:R27)+SUM(U27:V27)*Assumptions!$C$15</f>
        <v>2319895.9093669183</v>
      </c>
      <c r="F27" s="390">
        <f>E27*Assumptions!D31</f>
        <v>840837.03833463194</v>
      </c>
      <c r="G27" s="361"/>
      <c r="H27" s="391"/>
      <c r="I27" s="373">
        <f>(I5*Assumptions!M31)+(Assumptions!L31*Benefits!I6+0.09)</f>
        <v>8330.5027873347826</v>
      </c>
      <c r="J27" s="392"/>
      <c r="K27" s="391"/>
      <c r="L27" s="373">
        <f>L5*Assumptions!K31</f>
        <v>542.28356166046558</v>
      </c>
      <c r="M27" s="373"/>
      <c r="N27" s="373"/>
      <c r="O27" s="373">
        <f>((O5*0.86)*Assumptions!M31)+(Assumptions!L31*(2.38*Benefits!O6))</f>
        <v>965.59826544787313</v>
      </c>
      <c r="P27" s="373"/>
      <c r="Q27" s="391"/>
      <c r="R27" s="373">
        <f>Assumptions!AA14*R5</f>
        <v>2334810</v>
      </c>
      <c r="S27" s="373"/>
      <c r="T27" s="391"/>
      <c r="U27" s="373">
        <v>-25000</v>
      </c>
      <c r="V27" s="373">
        <v>0</v>
      </c>
      <c r="W27" s="361"/>
      <c r="X27" s="396">
        <f>U27*Assumptions!$D31*Assumptions!$C$16</f>
        <v>-8882.6100294667103</v>
      </c>
      <c r="Y27" s="394">
        <f>V27*Assumptions!$D31*Assumptions!$C$15</f>
        <v>0</v>
      </c>
    </row>
    <row r="28" spans="2:25" ht="14.25">
      <c r="B28" s="235">
        <f t="shared" si="0"/>
        <v>16</v>
      </c>
      <c r="C28" s="205">
        <f t="shared" si="0"/>
        <v>2038</v>
      </c>
      <c r="D28" s="390"/>
      <c r="E28" s="395">
        <f>SUM(I28:R28)+SUM(U28:V28)*Assumptions!$C$15</f>
        <v>2320394.7939883629</v>
      </c>
      <c r="F28" s="390">
        <f>E28*Assumptions!D32</f>
        <v>785997.99727096769</v>
      </c>
      <c r="G28" s="361"/>
      <c r="H28" s="391"/>
      <c r="I28" s="373">
        <f>(I5*Assumptions!M32)+(Assumptions!L32*Benefits!I6+0.09)</f>
        <v>8752.925066068261</v>
      </c>
      <c r="J28" s="392"/>
      <c r="K28" s="391"/>
      <c r="L28" s="373">
        <f>L5*Assumptions!K32</f>
        <v>569.78191782651209</v>
      </c>
      <c r="M28" s="373"/>
      <c r="N28" s="373"/>
      <c r="O28" s="373">
        <f>((O5*0.86)*Assumptions!M32)+(Assumptions!L32*(2.38*Benefits!O6))</f>
        <v>1014.5622519926605</v>
      </c>
      <c r="P28" s="373"/>
      <c r="Q28" s="391"/>
      <c r="R28" s="373">
        <f>Assumptions!AA14*R5</f>
        <v>2334810</v>
      </c>
      <c r="S28" s="373"/>
      <c r="T28" s="391"/>
      <c r="U28" s="373">
        <v>-25000</v>
      </c>
      <c r="V28" s="373">
        <v>0</v>
      </c>
      <c r="W28" s="361"/>
      <c r="X28" s="396">
        <f>U28*Assumptions!$D32*Assumptions!$C$16</f>
        <v>-8301.5047004361786</v>
      </c>
      <c r="Y28" s="394">
        <f>V28*Assumptions!$D32*Assumptions!$C$15</f>
        <v>0</v>
      </c>
    </row>
    <row r="29" spans="2:25" ht="14.25">
      <c r="B29" s="235">
        <f t="shared" si="0"/>
        <v>17</v>
      </c>
      <c r="C29" s="205">
        <f t="shared" si="0"/>
        <v>2039</v>
      </c>
      <c r="D29" s="390"/>
      <c r="E29" s="395">
        <f>SUM(I29:R29)+SUM(U29:V29)*Assumptions!$C$15</f>
        <v>2320893.678609807</v>
      </c>
      <c r="F29" s="390">
        <f>E29*Assumptions!D33</f>
        <v>734735.50163790607</v>
      </c>
      <c r="G29" s="361"/>
      <c r="H29" s="391"/>
      <c r="I29" s="373">
        <f>(I5*Assumptions!M33)+(Assumptions!L33*Benefits!I6+0.09)</f>
        <v>9175.3473448017394</v>
      </c>
      <c r="J29" s="392"/>
      <c r="K29" s="391"/>
      <c r="L29" s="373">
        <f>L5*Assumptions!K33</f>
        <v>597.28027399255859</v>
      </c>
      <c r="M29" s="373"/>
      <c r="N29" s="373"/>
      <c r="O29" s="373">
        <f>((O5*0.86)*Assumptions!M33)+(Assumptions!L33*(2.38*Benefits!O6))</f>
        <v>1063.5262385374479</v>
      </c>
      <c r="P29" s="373"/>
      <c r="Q29" s="391"/>
      <c r="R29" s="373">
        <f>Assumptions!AA14*R5</f>
        <v>2334810</v>
      </c>
      <c r="S29" s="373"/>
      <c r="T29" s="391"/>
      <c r="U29" s="373">
        <v>-25000</v>
      </c>
      <c r="V29" s="373">
        <v>0</v>
      </c>
      <c r="W29" s="361"/>
      <c r="X29" s="396">
        <f>U29*Assumptions!$D33*Assumptions!$C$16</f>
        <v>-7758.4156078842798</v>
      </c>
      <c r="Y29" s="394">
        <f>V29*Assumptions!$D33*Assumptions!$C$15</f>
        <v>0</v>
      </c>
    </row>
    <row r="30" spans="2:25" ht="14.25">
      <c r="B30" s="235">
        <f t="shared" ref="B30:C35" si="1">B29+1</f>
        <v>18</v>
      </c>
      <c r="C30" s="205">
        <f t="shared" si="1"/>
        <v>2040</v>
      </c>
      <c r="D30" s="390"/>
      <c r="E30" s="395">
        <f>SUM(I30:R30)+SUM(U30:V30)*Assumptions!$C$15</f>
        <v>2321392.5632312512</v>
      </c>
      <c r="F30" s="390">
        <f>E30*Assumptions!D34</f>
        <v>686816.29507743136</v>
      </c>
      <c r="G30" s="361"/>
      <c r="H30" s="391"/>
      <c r="I30" s="373">
        <f>(I5*Assumptions!M34)+(Assumptions!L34*Benefits!I6+0.09)</f>
        <v>9597.7696235352159</v>
      </c>
      <c r="J30" s="392"/>
      <c r="K30" s="391"/>
      <c r="L30" s="373">
        <f>L5*Assumptions!K34</f>
        <v>624.77863015860521</v>
      </c>
      <c r="M30" s="373"/>
      <c r="N30" s="373"/>
      <c r="O30" s="373">
        <f>((O5*0.86)*Assumptions!M34)+(Assumptions!L34*(2.38*Benefits!O6))</f>
        <v>1112.4902250822354</v>
      </c>
      <c r="P30" s="373"/>
      <c r="Q30" s="391"/>
      <c r="R30" s="373">
        <f>Assumptions!AA14*R5</f>
        <v>2334810</v>
      </c>
      <c r="S30" s="373"/>
      <c r="T30" s="391"/>
      <c r="U30" s="373">
        <v>-25000</v>
      </c>
      <c r="V30" s="373">
        <v>0</v>
      </c>
      <c r="W30" s="361"/>
      <c r="X30" s="396">
        <f>U30*Assumptions!$D34*Assumptions!$C$16</f>
        <v>-7250.8557083030646</v>
      </c>
      <c r="Y30" s="394">
        <f>V30*Assumptions!$D34*Assumptions!$C$15</f>
        <v>0</v>
      </c>
    </row>
    <row r="31" spans="2:25" ht="14.25">
      <c r="B31" s="235">
        <f t="shared" si="1"/>
        <v>19</v>
      </c>
      <c r="C31" s="205">
        <f t="shared" si="1"/>
        <v>2041</v>
      </c>
      <c r="D31" s="390"/>
      <c r="E31" s="395">
        <f>SUM(I31:R31)+SUM(U31:V31)*Assumptions!$C$15</f>
        <v>2321891.4478526958</v>
      </c>
      <c r="F31" s="390">
        <f>E31*Assumptions!D35</f>
        <v>642022.33367787348</v>
      </c>
      <c r="G31" s="361"/>
      <c r="H31" s="391"/>
      <c r="I31" s="373">
        <f>(I5*Assumptions!M35)+(Assumptions!L35*Benefits!I6+0.09)</f>
        <v>10020.191902268696</v>
      </c>
      <c r="J31" s="392"/>
      <c r="K31" s="391"/>
      <c r="L31" s="373">
        <f>L5*Assumptions!K35</f>
        <v>652.27698632465172</v>
      </c>
      <c r="M31" s="373"/>
      <c r="N31" s="373"/>
      <c r="O31" s="373">
        <f>((O5*0.86)*Assumptions!M35)+(Assumptions!L35*(2.38*Benefits!O6))</f>
        <v>1161.4542116270227</v>
      </c>
      <c r="P31" s="373"/>
      <c r="Q31" s="391"/>
      <c r="R31" s="373">
        <f>Assumptions!AA14*R5</f>
        <v>2334810</v>
      </c>
      <c r="S31" s="373"/>
      <c r="T31" s="391"/>
      <c r="U31" s="373">
        <v>-25000</v>
      </c>
      <c r="V31" s="373">
        <v>0</v>
      </c>
      <c r="W31" s="361"/>
      <c r="X31" s="396">
        <f>U31*Assumptions!$D35*Assumptions!$C$16</f>
        <v>-6776.5006619654805</v>
      </c>
      <c r="Y31" s="394">
        <f>V31*Assumptions!$D35*Assumptions!$C$15</f>
        <v>0</v>
      </c>
    </row>
    <row r="32" spans="2:25" ht="14.25">
      <c r="B32" s="235">
        <f t="shared" si="1"/>
        <v>20</v>
      </c>
      <c r="C32" s="205">
        <f t="shared" si="1"/>
        <v>2042</v>
      </c>
      <c r="D32" s="390"/>
      <c r="E32" s="395">
        <f>SUM(I32:R32)+SUM(U32:V32)*Assumptions!$C$15</f>
        <v>2297637.8572266153</v>
      </c>
      <c r="F32" s="390">
        <f>E32*Assumptions!D36</f>
        <v>593753.2838918959</v>
      </c>
      <c r="G32" s="361"/>
      <c r="H32" s="391"/>
      <c r="I32" s="373">
        <f>(I5*Assumptions!M36)+(Assumptions!L36*Benefits!I6+0.09)</f>
        <v>10442.614181002173</v>
      </c>
      <c r="J32" s="392"/>
      <c r="K32" s="391"/>
      <c r="L32" s="373">
        <f>L5*Assumptions!K36</f>
        <v>679.77534249069834</v>
      </c>
      <c r="M32" s="373"/>
      <c r="N32" s="373"/>
      <c r="O32" s="373">
        <f>((O5*0.86)*Assumptions!M36)+(Assumptions!L36*(2.38*Benefits!O6))</f>
        <v>1210.41819817181</v>
      </c>
      <c r="P32" s="373"/>
      <c r="Q32" s="391"/>
      <c r="R32" s="373">
        <f>Assumptions!AA14*R5</f>
        <v>2334810</v>
      </c>
      <c r="S32" s="373"/>
      <c r="T32" s="391"/>
      <c r="U32" s="373">
        <v>-50000</v>
      </c>
      <c r="V32" s="373">
        <v>0</v>
      </c>
      <c r="W32" s="361"/>
      <c r="X32" s="396">
        <f>U32*Assumptions!$D36*Assumptions!$C$16</f>
        <v>-12666.356377505574</v>
      </c>
      <c r="Y32" s="394">
        <f>V32*Assumptions!$D36*Assumptions!$C$15</f>
        <v>0</v>
      </c>
    </row>
    <row r="33" spans="2:25" ht="14.25">
      <c r="B33" s="235">
        <f t="shared" si="1"/>
        <v>21</v>
      </c>
      <c r="C33" s="205">
        <f t="shared" si="1"/>
        <v>2043</v>
      </c>
      <c r="D33" s="390"/>
      <c r="E33" s="395">
        <f>SUM(I33:R33)+SUM(U33:V33)*Assumptions!$C$15</f>
        <v>2298136.7418480595</v>
      </c>
      <c r="F33" s="390">
        <f>E33*Assumptions!D37</f>
        <v>555030.09827877453</v>
      </c>
      <c r="G33" s="361"/>
      <c r="H33" s="391"/>
      <c r="I33" s="373">
        <f>(I5*Assumptions!M37)+(Assumptions!L37*Benefits!I6+0.09)</f>
        <v>10865.036459735649</v>
      </c>
      <c r="J33" s="392"/>
      <c r="K33" s="391"/>
      <c r="L33" s="373">
        <f>L5*Assumptions!K37</f>
        <v>707.27369865674484</v>
      </c>
      <c r="M33" s="373"/>
      <c r="N33" s="373"/>
      <c r="O33" s="373">
        <f>((O5*0.86)*Assumptions!M37)+(Assumptions!L37*(2.38*Benefits!O6))</f>
        <v>1259.3821847165975</v>
      </c>
      <c r="P33" s="373"/>
      <c r="Q33" s="391"/>
      <c r="R33" s="373">
        <f>Assumptions!AA14*R5</f>
        <v>2334810</v>
      </c>
      <c r="S33" s="373"/>
      <c r="T33" s="391"/>
      <c r="U33" s="373">
        <v>-50000</v>
      </c>
      <c r="V33" s="373">
        <v>0</v>
      </c>
      <c r="W33" s="361"/>
      <c r="X33" s="396">
        <f>U33*Assumptions!$D37*Assumptions!$C$16</f>
        <v>-11837.716240659413</v>
      </c>
      <c r="Y33" s="394">
        <f>V33*Assumptions!$D37*Assumptions!$C$15</f>
        <v>0</v>
      </c>
    </row>
    <row r="34" spans="2:25" ht="14.25">
      <c r="B34" s="235">
        <f t="shared" si="1"/>
        <v>22</v>
      </c>
      <c r="C34" s="205">
        <f t="shared" si="1"/>
        <v>2044</v>
      </c>
      <c r="D34" s="390"/>
      <c r="E34" s="395">
        <f>SUM(I34:R34)+SUM(U34:V34)*Assumptions!$C$15</f>
        <v>2298635.6264695041</v>
      </c>
      <c r="F34" s="390">
        <f>E34*Assumptions!D38</f>
        <v>518832.32284451183</v>
      </c>
      <c r="G34" s="361"/>
      <c r="H34" s="391"/>
      <c r="I34" s="373">
        <f>(I5*Assumptions!M38)+(Assumptions!L38*Benefits!I6+0.09)</f>
        <v>11287.458738469129</v>
      </c>
      <c r="J34" s="392"/>
      <c r="K34" s="391"/>
      <c r="L34" s="373">
        <f>L5*Assumptions!K38</f>
        <v>734.77205482279135</v>
      </c>
      <c r="M34" s="373"/>
      <c r="N34" s="373"/>
      <c r="O34" s="373">
        <f>((O5*0.86)*Assumptions!M38)+(Assumptions!L38*(2.38*Benefits!O6))</f>
        <v>1308.3461712613848</v>
      </c>
      <c r="P34" s="373"/>
      <c r="Q34" s="391"/>
      <c r="R34" s="373">
        <f>Assumptions!AA14*R5</f>
        <v>2334810</v>
      </c>
      <c r="S34" s="373"/>
      <c r="T34" s="391"/>
      <c r="U34" s="373">
        <v>-50000</v>
      </c>
      <c r="V34" s="373">
        <v>0</v>
      </c>
      <c r="W34" s="361"/>
      <c r="X34" s="396">
        <f>U34*Assumptions!$D38*Assumptions!$C$16</f>
        <v>-11063.286206223751</v>
      </c>
      <c r="Y34" s="394">
        <f>V34*Assumptions!$D38*Assumptions!$C$15</f>
        <v>0</v>
      </c>
    </row>
    <row r="35" spans="2:25" ht="14.25">
      <c r="B35" s="235">
        <f t="shared" si="1"/>
        <v>23</v>
      </c>
      <c r="C35" s="205">
        <f t="shared" si="1"/>
        <v>2045</v>
      </c>
      <c r="D35" s="390"/>
      <c r="E35" s="395">
        <f>SUM(I35:R35)+SUM(U35:V35)*Assumptions!$C$15</f>
        <v>2299134.5110909482</v>
      </c>
      <c r="F35" s="390">
        <f>E35*Assumptions!D39</f>
        <v>484995.25950605352</v>
      </c>
      <c r="G35" s="361"/>
      <c r="H35" s="391"/>
      <c r="I35" s="373">
        <f>(I5*Assumptions!M39)+(Assumptions!L39*Benefits!I6+0.09)</f>
        <v>11709.881017202606</v>
      </c>
      <c r="J35" s="392"/>
      <c r="K35" s="391"/>
      <c r="L35" s="373">
        <f>L5*Assumptions!K39</f>
        <v>762.27041098883797</v>
      </c>
      <c r="M35" s="373"/>
      <c r="N35" s="373"/>
      <c r="O35" s="373">
        <f>((O5*0.86)*Assumptions!M39)+(Assumptions!L39*(2.38*Benefits!O6))</f>
        <v>1357.3101578061724</v>
      </c>
      <c r="P35" s="373"/>
      <c r="Q35" s="391"/>
      <c r="R35" s="373">
        <f>Assumptions!AA14*R5</f>
        <v>2334810</v>
      </c>
      <c r="S35" s="373"/>
      <c r="T35" s="391"/>
      <c r="U35" s="373">
        <v>-50000</v>
      </c>
      <c r="V35" s="361"/>
      <c r="W35" s="361"/>
      <c r="X35" s="396">
        <f>U35*Assumptions!$D39*Assumptions!$C$16</f>
        <v>-10339.519818900701</v>
      </c>
      <c r="Y35" s="394">
        <f>V35*Assumptions!$D39*Assumptions!$C$16</f>
        <v>0</v>
      </c>
    </row>
    <row r="36" spans="2:25" ht="14.25">
      <c r="B36" s="235">
        <f t="shared" ref="B36:C36" si="2">B35+1</f>
        <v>24</v>
      </c>
      <c r="C36" s="205">
        <f t="shared" si="2"/>
        <v>2046</v>
      </c>
      <c r="D36" s="205"/>
      <c r="E36" s="395">
        <f>SUM(I36:R36)+SUM(U36:V36)*Assumptions!$C$15</f>
        <v>2299633.3957123924</v>
      </c>
      <c r="F36" s="390">
        <f>E36*Assumptions!D40</f>
        <v>453364.95108607109</v>
      </c>
      <c r="G36" s="361"/>
      <c r="H36" s="361"/>
      <c r="I36" s="373">
        <f>(I5*Assumptions!M40)+(Assumptions!L40*Benefits!I6+0.09)</f>
        <v>12132.303295936083</v>
      </c>
      <c r="J36" s="361"/>
      <c r="K36" s="361"/>
      <c r="L36" s="373">
        <f>L5*Assumptions!K40</f>
        <v>789.76876715488447</v>
      </c>
      <c r="M36" s="361"/>
      <c r="N36" s="361"/>
      <c r="O36" s="373">
        <f>((O5*0.86)*Assumptions!M40)+(Assumptions!L40*(2.38*Benefits!O6))</f>
        <v>1406.2741443509597</v>
      </c>
      <c r="P36" s="361"/>
      <c r="Q36" s="361"/>
      <c r="R36" s="392">
        <f>Assumptions!AA14*R5</f>
        <v>2334810</v>
      </c>
      <c r="S36" s="392"/>
      <c r="T36" s="361"/>
      <c r="U36" s="373">
        <v>-50000</v>
      </c>
      <c r="V36" s="361"/>
      <c r="W36" s="361"/>
      <c r="X36" s="396">
        <f>U36*Assumptions!$D40*Assumptions!$C$16</f>
        <v>-9663.1026344866368</v>
      </c>
      <c r="Y36" s="394">
        <f>V36*Assumptions!$D40*Assumptions!$C$16</f>
        <v>0</v>
      </c>
    </row>
    <row r="37" spans="2:25" ht="14.25">
      <c r="B37" s="235">
        <f t="shared" ref="B37:C37" si="3">B36+1</f>
        <v>25</v>
      </c>
      <c r="C37" s="205">
        <f t="shared" si="3"/>
        <v>2047</v>
      </c>
      <c r="D37" s="205"/>
      <c r="E37" s="395">
        <f>SUM(I37:R37)+SUM(U37:V37)*Assumptions!$C$15</f>
        <v>2300132.280333837</v>
      </c>
      <c r="F37" s="390">
        <f>E37*Assumptions!D41</f>
        <v>423797.48084386287</v>
      </c>
      <c r="G37" s="361"/>
      <c r="H37" s="361"/>
      <c r="I37" s="373">
        <f>(I5*Assumptions!M41)+(Assumptions!L41*Benefits!I6+0.09)</f>
        <v>12554.725574669561</v>
      </c>
      <c r="J37" s="361"/>
      <c r="K37" s="361"/>
      <c r="L37" s="373">
        <f>L5*Assumptions!K41</f>
        <v>817.26712332093109</v>
      </c>
      <c r="M37" s="361"/>
      <c r="N37" s="361"/>
      <c r="O37" s="373">
        <f>((O5*0.86)*Assumptions!M41)+(Assumptions!L41*(2.38*Benefits!O6))</f>
        <v>1455.238130895747</v>
      </c>
      <c r="P37" s="361"/>
      <c r="Q37" s="361"/>
      <c r="R37" s="392">
        <f>Assumptions!AA14*R5</f>
        <v>2334810</v>
      </c>
      <c r="S37" s="392"/>
      <c r="T37" s="361"/>
      <c r="U37" s="373">
        <v>-50000</v>
      </c>
      <c r="V37" s="361"/>
      <c r="W37" s="361"/>
      <c r="X37" s="396">
        <f>U37*Assumptions!$D41*Assumptions!$C$16</f>
        <v>-9030.9370415762951</v>
      </c>
      <c r="Y37" s="394">
        <f>V37*Assumptions!$D41*Assumptions!$C$16</f>
        <v>0</v>
      </c>
    </row>
    <row r="38" spans="2:25" ht="15" customHeight="1">
      <c r="B38" s="235">
        <f t="shared" ref="B38:C38" si="4">B37+1</f>
        <v>26</v>
      </c>
      <c r="C38" s="205">
        <f t="shared" si="4"/>
        <v>2048</v>
      </c>
      <c r="D38" s="205"/>
      <c r="E38" s="395">
        <f>SUM(I38:R38)+SUM(U38:V38)*Assumptions!$C$15</f>
        <v>2300631.1649552812</v>
      </c>
      <c r="F38" s="390">
        <f>E38*Assumptions!D42</f>
        <v>396158.31768695562</v>
      </c>
      <c r="G38" s="361"/>
      <c r="H38" s="361"/>
      <c r="I38" s="373">
        <f>(I5*Assumptions!M42)+(Assumptions!L42*Benefits!I6+0.09)</f>
        <v>12977.147853403039</v>
      </c>
      <c r="J38" s="361"/>
      <c r="K38" s="361"/>
      <c r="L38" s="373">
        <f>L5*Assumptions!K42</f>
        <v>844.7654794869776</v>
      </c>
      <c r="M38" s="361"/>
      <c r="N38" s="361"/>
      <c r="O38" s="373">
        <f>((O5*0.86)*Assumptions!M42)+(Assumptions!L42*(2.38*Benefits!O6))</f>
        <v>1504.2021174405345</v>
      </c>
      <c r="P38" s="361"/>
      <c r="Q38" s="361"/>
      <c r="R38" s="392">
        <f>Assumptions!AA14*R5</f>
        <v>2334810</v>
      </c>
      <c r="S38" s="392"/>
      <c r="T38" s="361"/>
      <c r="U38" s="373">
        <v>-50000</v>
      </c>
      <c r="V38" s="361"/>
      <c r="W38" s="361"/>
      <c r="X38" s="396">
        <f>U38*Assumptions!$D42*Assumptions!$C$16</f>
        <v>-8440.128076239529</v>
      </c>
      <c r="Y38" s="394">
        <f>V38*Assumptions!$D42*Assumptions!$C$16</f>
        <v>0</v>
      </c>
    </row>
    <row r="39" spans="2:25" ht="15" customHeight="1">
      <c r="B39" s="235">
        <f t="shared" ref="B39:C39" si="5">B38+1</f>
        <v>27</v>
      </c>
      <c r="C39" s="205">
        <f t="shared" si="5"/>
        <v>2049</v>
      </c>
      <c r="D39" s="205"/>
      <c r="E39" s="395">
        <f>SUM(I39:R39)+SUM(U39:V39)*Assumptions!$C$15</f>
        <v>2301130.0495767253</v>
      </c>
      <c r="F39" s="390">
        <f>E39*Assumptions!D43</f>
        <v>370321.70408439339</v>
      </c>
      <c r="G39" s="361"/>
      <c r="H39" s="361"/>
      <c r="I39" s="373">
        <f>(I5*Assumptions!M43)+(Assumptions!L43*Benefits!I6+0.09)</f>
        <v>13399.570132136516</v>
      </c>
      <c r="J39" s="361"/>
      <c r="K39" s="361"/>
      <c r="L39" s="373">
        <f>L5*Assumptions!K43</f>
        <v>872.2638356530241</v>
      </c>
      <c r="M39" s="361"/>
      <c r="N39" s="361"/>
      <c r="O39" s="373">
        <f>((O5*0.86)*Assumptions!M43)+(Assumptions!L43*(2.38*Benefits!O6))</f>
        <v>1553.1661039853218</v>
      </c>
      <c r="P39" s="361"/>
      <c r="Q39" s="361"/>
      <c r="R39" s="392">
        <f>Assumptions!AA14*R5</f>
        <v>2334810</v>
      </c>
      <c r="S39" s="392"/>
      <c r="T39" s="361"/>
      <c r="U39" s="373">
        <v>-50000</v>
      </c>
      <c r="V39" s="361"/>
      <c r="W39" s="361"/>
      <c r="X39" s="396">
        <f>U39*Assumptions!$D43*Assumptions!$C$16</f>
        <v>-7887.9701647098382</v>
      </c>
      <c r="Y39" s="394">
        <f>V39*Assumptions!$D43*Assumptions!$C$16</f>
        <v>0</v>
      </c>
    </row>
    <row r="40" spans="2:25" ht="15" customHeight="1">
      <c r="B40" s="235">
        <f t="shared" ref="B40:C40" si="6">B39+1</f>
        <v>28</v>
      </c>
      <c r="C40" s="205">
        <f t="shared" si="6"/>
        <v>2050</v>
      </c>
      <c r="D40" s="205"/>
      <c r="E40" s="395">
        <f>SUM(I40:R40)+SUM(U40:V40)*Assumptions!$C$15</f>
        <v>2301628.93419817</v>
      </c>
      <c r="F40" s="390">
        <f>E40*Assumptions!D44</f>
        <v>346170.0838969748</v>
      </c>
      <c r="G40" s="361"/>
      <c r="H40" s="361"/>
      <c r="I40" s="373">
        <f>(I5*Assumptions!M44)+(Assumptions!L44*Benefits!I6+0.09)</f>
        <v>13821.992410869992</v>
      </c>
      <c r="J40" s="361"/>
      <c r="K40" s="361"/>
      <c r="L40" s="373">
        <f>L5*Assumptions!K44</f>
        <v>899.76219181907072</v>
      </c>
      <c r="M40" s="361"/>
      <c r="N40" s="361"/>
      <c r="O40" s="373">
        <f>((O5*0.86)*Assumptions!M44)+(Assumptions!L44*(2.38*Benefits!O6))</f>
        <v>1602.1300905301093</v>
      </c>
      <c r="P40" s="361"/>
      <c r="Q40" s="361"/>
      <c r="R40" s="392">
        <f>Assumptions!AA14*R5</f>
        <v>2334810</v>
      </c>
      <c r="S40" s="392"/>
      <c r="T40" s="361"/>
      <c r="U40" s="373">
        <v>-50000</v>
      </c>
      <c r="V40" s="361"/>
      <c r="W40" s="361"/>
      <c r="X40" s="396">
        <f>U40*Assumptions!$D44*Assumptions!$C$16</f>
        <v>-7371.9347333736823</v>
      </c>
      <c r="Y40" s="394">
        <f>V40*Assumptions!$D44*Assumptions!$C$16</f>
        <v>0</v>
      </c>
    </row>
    <row r="41" spans="2:25" ht="15" customHeight="1">
      <c r="B41" s="235">
        <f t="shared" ref="B41:C42" si="7">B40+1</f>
        <v>29</v>
      </c>
      <c r="C41" s="205">
        <f t="shared" si="7"/>
        <v>2051</v>
      </c>
      <c r="D41" s="205"/>
      <c r="E41" s="395">
        <f>SUM(I41:R41)+SUM(U41:V41)*Assumptions!$C$15</f>
        <v>2302127.8188196141</v>
      </c>
      <c r="F41" s="390">
        <f>E41*Assumptions!D45</f>
        <v>323593.56752129673</v>
      </c>
      <c r="G41" s="361"/>
      <c r="H41" s="361"/>
      <c r="I41" s="373">
        <f>(I5*Assumptions!M45)+(Assumptions!L45*Benefits!I6+0.09)</f>
        <v>14244.414689603471</v>
      </c>
      <c r="J41" s="361"/>
      <c r="K41" s="361"/>
      <c r="L41" s="373">
        <f>L5*Assumptions!K45</f>
        <v>927.26054798511723</v>
      </c>
      <c r="M41" s="361"/>
      <c r="N41" s="361"/>
      <c r="O41" s="373">
        <f>((O5*0.86)*Assumptions!M45)+(Assumptions!L45*(2.38*Benefits!O6))</f>
        <v>1651.0940770748966</v>
      </c>
      <c r="P41" s="361"/>
      <c r="Q41" s="361"/>
      <c r="R41" s="392">
        <f>Assumptions!AA14*R5</f>
        <v>2334810</v>
      </c>
      <c r="S41" s="392"/>
      <c r="T41" s="361"/>
      <c r="U41" s="373">
        <v>-50000</v>
      </c>
      <c r="V41" s="361"/>
      <c r="W41" s="361"/>
      <c r="X41" s="396">
        <f>U41*Assumptions!$D45*Assumptions!$C$16</f>
        <v>-6889.6586293211985</v>
      </c>
      <c r="Y41" s="394">
        <f>V41*Assumptions!$D45*Assumptions!$C$16</f>
        <v>0</v>
      </c>
    </row>
    <row r="42" spans="2:25" ht="15" customHeight="1" thickBot="1">
      <c r="B42" s="177">
        <f t="shared" si="7"/>
        <v>30</v>
      </c>
      <c r="C42" s="237">
        <f t="shared" si="7"/>
        <v>2052</v>
      </c>
      <c r="D42" s="237"/>
      <c r="E42" s="397">
        <f>SUM(I42:R42)+SUM(U42:V42)*Assumptions!$C$15</f>
        <v>15197868.575264007</v>
      </c>
      <c r="F42" s="398">
        <f>E42*Assumptions!D46</f>
        <v>1996500.1816267658</v>
      </c>
      <c r="G42" s="203"/>
      <c r="H42" s="203"/>
      <c r="I42" s="399">
        <f>(I5*Assumptions!M46)+(Assumptions!L46*Benefits!I6+0.09)</f>
        <v>14666.836968336949</v>
      </c>
      <c r="J42" s="203"/>
      <c r="K42" s="203"/>
      <c r="L42" s="399">
        <f>L5*Assumptions!K46</f>
        <v>954.75890415116385</v>
      </c>
      <c r="M42" s="203"/>
      <c r="N42" s="203"/>
      <c r="O42" s="399">
        <f>((O5*0.86)*Assumptions!M46)+(Assumptions!L46*(2.38*Benefits!O6))</f>
        <v>1700.0580636196842</v>
      </c>
      <c r="P42" s="203"/>
      <c r="Q42" s="203"/>
      <c r="R42" s="400">
        <f>Assumptions!AA14*R5</f>
        <v>2334810</v>
      </c>
      <c r="S42" s="400"/>
      <c r="T42" s="203"/>
      <c r="U42" s="399">
        <v>-50000</v>
      </c>
      <c r="V42" s="399">
        <f>W8</f>
        <v>13024194.290541178</v>
      </c>
      <c r="W42" s="203"/>
      <c r="X42" s="401">
        <f>U42*Assumptions!$D46*Assumptions!$C$16</f>
        <v>-6438.9332984310267</v>
      </c>
      <c r="Y42" s="402">
        <f>V42*Assumptions!$D46*Assumptions!$C$16</f>
        <v>1677238.3660520171</v>
      </c>
    </row>
    <row r="43" spans="2:25" ht="15" customHeight="1">
      <c r="U43" s="44"/>
    </row>
    <row r="52" spans="2:19" ht="15" customHeight="1" thickBot="1"/>
    <row r="53" spans="2:19" ht="15" customHeight="1">
      <c r="B53" s="403" t="s">
        <v>138</v>
      </c>
      <c r="C53" s="404"/>
      <c r="D53" s="404"/>
      <c r="E53" s="404"/>
      <c r="F53" s="404"/>
      <c r="G53" s="404"/>
      <c r="H53" s="405"/>
      <c r="I53" s="405"/>
      <c r="J53" s="233"/>
      <c r="K53" s="233"/>
      <c r="L53" s="426" t="s">
        <v>229</v>
      </c>
      <c r="M53" s="233"/>
      <c r="N53" s="233"/>
      <c r="O53" s="233"/>
      <c r="P53" s="233"/>
      <c r="Q53" s="233"/>
      <c r="R53" s="202"/>
      <c r="S53" s="406"/>
    </row>
    <row r="54" spans="2:19" ht="15" customHeight="1">
      <c r="B54" s="407" t="s">
        <v>139</v>
      </c>
      <c r="C54" s="153">
        <v>7.08</v>
      </c>
      <c r="D54" s="228" t="s">
        <v>141</v>
      </c>
      <c r="E54" s="228"/>
      <c r="F54" s="228"/>
      <c r="G54" s="228"/>
      <c r="H54" s="408"/>
      <c r="I54" s="408"/>
      <c r="J54" s="258"/>
      <c r="K54" s="258"/>
      <c r="L54" s="258"/>
      <c r="M54" s="258"/>
      <c r="N54" s="258"/>
      <c r="O54" s="258"/>
      <c r="P54" s="258"/>
      <c r="Q54" s="258"/>
      <c r="R54" s="361"/>
      <c r="S54" s="409"/>
    </row>
    <row r="55" spans="2:19" ht="15" customHeight="1">
      <c r="B55" s="407" t="s">
        <v>140</v>
      </c>
      <c r="C55" s="153">
        <v>6.31</v>
      </c>
      <c r="D55" s="228"/>
      <c r="E55" s="228"/>
      <c r="F55" s="228"/>
      <c r="G55" s="228"/>
      <c r="H55" s="205"/>
      <c r="I55" s="205"/>
      <c r="J55" s="258"/>
      <c r="K55" s="258"/>
      <c r="L55" s="258"/>
      <c r="M55" s="258"/>
      <c r="N55" s="258"/>
      <c r="O55" s="258"/>
      <c r="P55" s="258"/>
      <c r="Q55" s="258"/>
      <c r="R55" s="361"/>
      <c r="S55" s="409"/>
    </row>
    <row r="56" spans="2:19" ht="15" customHeight="1">
      <c r="B56" s="257" t="s">
        <v>72</v>
      </c>
      <c r="C56" s="410" t="s">
        <v>73</v>
      </c>
      <c r="D56" s="138"/>
      <c r="E56" s="205"/>
      <c r="F56" s="205"/>
      <c r="G56" s="205"/>
      <c r="H56" s="205"/>
      <c r="I56" s="205"/>
      <c r="J56" s="258"/>
      <c r="K56" s="258"/>
      <c r="L56" s="258"/>
      <c r="M56" s="258"/>
      <c r="N56" s="258"/>
      <c r="O56" s="258"/>
      <c r="P56" s="258"/>
      <c r="Q56" s="258"/>
      <c r="R56" s="361"/>
      <c r="S56" s="409"/>
    </row>
    <row r="57" spans="2:19" ht="15" customHeight="1">
      <c r="B57" s="411" t="s">
        <v>142</v>
      </c>
      <c r="C57" s="412"/>
      <c r="D57" s="412"/>
      <c r="E57" s="412"/>
      <c r="F57" s="412"/>
      <c r="G57" s="412"/>
      <c r="H57" s="412"/>
      <c r="I57" s="412"/>
      <c r="J57" s="412"/>
      <c r="K57" s="412"/>
      <c r="L57" s="413"/>
      <c r="M57" s="413"/>
      <c r="N57" s="413"/>
      <c r="O57" s="413"/>
      <c r="P57" s="413"/>
      <c r="Q57" s="414"/>
      <c r="R57" s="361"/>
      <c r="S57" s="409"/>
    </row>
    <row r="58" spans="2:19" ht="15" customHeight="1">
      <c r="B58" s="415"/>
      <c r="C58" s="219">
        <v>2020</v>
      </c>
      <c r="D58" s="219"/>
      <c r="E58" s="219"/>
      <c r="F58" s="229" t="s">
        <v>74</v>
      </c>
      <c r="G58" s="229"/>
      <c r="H58" s="230" t="s">
        <v>75</v>
      </c>
      <c r="I58" s="230"/>
      <c r="J58" s="231" t="s">
        <v>76</v>
      </c>
      <c r="K58" s="231"/>
      <c r="L58" s="227" t="s">
        <v>77</v>
      </c>
      <c r="M58" s="227"/>
      <c r="N58" s="204"/>
      <c r="O58" s="204"/>
      <c r="P58" s="204"/>
      <c r="Q58" s="170" t="s">
        <v>145</v>
      </c>
      <c r="R58" s="361"/>
      <c r="S58" s="409"/>
    </row>
    <row r="59" spans="2:19" ht="15" customHeight="1">
      <c r="B59" s="416" t="s">
        <v>78</v>
      </c>
      <c r="C59" s="50" t="s">
        <v>79</v>
      </c>
      <c r="D59" s="50" t="s">
        <v>80</v>
      </c>
      <c r="E59" s="50" t="s">
        <v>81</v>
      </c>
      <c r="F59" s="113" t="s">
        <v>136</v>
      </c>
      <c r="G59" s="113" t="s">
        <v>137</v>
      </c>
      <c r="H59" s="77" t="s">
        <v>136</v>
      </c>
      <c r="I59" s="77" t="s">
        <v>137</v>
      </c>
      <c r="J59" s="102" t="s">
        <v>136</v>
      </c>
      <c r="K59" s="102" t="s">
        <v>137</v>
      </c>
      <c r="L59" s="142" t="s">
        <v>136</v>
      </c>
      <c r="M59" s="142" t="s">
        <v>137</v>
      </c>
      <c r="N59" s="145"/>
      <c r="O59" s="145"/>
      <c r="P59" s="145"/>
      <c r="Q59" s="171" t="s">
        <v>146</v>
      </c>
      <c r="R59" s="361"/>
      <c r="S59" s="409"/>
    </row>
    <row r="60" spans="2:19" ht="15" customHeight="1" thickBot="1">
      <c r="B60" s="416" t="s">
        <v>85</v>
      </c>
      <c r="C60" s="50" t="s">
        <v>135</v>
      </c>
      <c r="D60" s="50" t="s">
        <v>135</v>
      </c>
      <c r="E60" s="50" t="s">
        <v>135</v>
      </c>
      <c r="F60" s="113" t="s">
        <v>135</v>
      </c>
      <c r="G60" s="113" t="s">
        <v>135</v>
      </c>
      <c r="H60" s="77" t="s">
        <v>135</v>
      </c>
      <c r="I60" s="77" t="s">
        <v>135</v>
      </c>
      <c r="J60" s="102" t="s">
        <v>135</v>
      </c>
      <c r="K60" s="102" t="s">
        <v>135</v>
      </c>
      <c r="L60" s="142" t="s">
        <v>135</v>
      </c>
      <c r="M60" s="142" t="s">
        <v>135</v>
      </c>
      <c r="N60" s="145"/>
      <c r="O60" s="145"/>
      <c r="P60" s="145"/>
      <c r="Q60" s="172" t="s">
        <v>135</v>
      </c>
      <c r="R60" s="361"/>
      <c r="S60" s="409"/>
    </row>
    <row r="61" spans="2:19" ht="15" customHeight="1">
      <c r="B61" s="417" t="s">
        <v>104</v>
      </c>
      <c r="C61" s="54" t="s">
        <v>105</v>
      </c>
      <c r="D61" s="54">
        <v>70</v>
      </c>
      <c r="E61" s="54">
        <v>129</v>
      </c>
      <c r="F61" s="148">
        <v>171.57000000000002</v>
      </c>
      <c r="G61" s="115">
        <v>42.570000000000022</v>
      </c>
      <c r="H61" s="147">
        <v>225.8313090709056</v>
      </c>
      <c r="I61" s="80">
        <v>56.033332325863796</v>
      </c>
      <c r="J61" s="149">
        <v>299.71120456315919</v>
      </c>
      <c r="K61" s="104">
        <v>74.364434214919214</v>
      </c>
      <c r="L61" s="150">
        <v>398.12434853198738</v>
      </c>
      <c r="M61" s="143">
        <v>98.782733094402886</v>
      </c>
      <c r="N61" s="146"/>
      <c r="O61" s="146"/>
      <c r="P61" s="146"/>
      <c r="Q61" s="173">
        <f>SUM(M61,K61,I61,G61)</f>
        <v>271.75049963518592</v>
      </c>
      <c r="R61" s="175">
        <f>L61/30</f>
        <v>13.270811617732912</v>
      </c>
      <c r="S61" s="406"/>
    </row>
    <row r="62" spans="2:19" ht="15" customHeight="1" thickBot="1">
      <c r="B62" s="418" t="s">
        <v>107</v>
      </c>
      <c r="C62" s="161" t="s">
        <v>108</v>
      </c>
      <c r="D62" s="161" t="s">
        <v>109</v>
      </c>
      <c r="E62" s="161">
        <v>465</v>
      </c>
      <c r="F62" s="162">
        <v>618.45000000000005</v>
      </c>
      <c r="G62" s="163">
        <v>153.45000000000005</v>
      </c>
      <c r="H62" s="164">
        <v>814.04309083698524</v>
      </c>
      <c r="I62" s="165">
        <v>201.98061652346257</v>
      </c>
      <c r="J62" s="166">
        <v>1080.354342029992</v>
      </c>
      <c r="K62" s="167">
        <v>268.05784426308071</v>
      </c>
      <c r="L62" s="168">
        <v>1435.0993958711167</v>
      </c>
      <c r="M62" s="169">
        <v>356.07729371238247</v>
      </c>
      <c r="N62" s="146"/>
      <c r="O62" s="146"/>
      <c r="P62" s="146"/>
      <c r="Q62" s="174">
        <f>SUM(M62,K62,I62,G62)</f>
        <v>979.5657544989258</v>
      </c>
      <c r="R62" s="176">
        <f>L62/30</f>
        <v>47.836646529037225</v>
      </c>
      <c r="S62" s="419"/>
    </row>
    <row r="63" spans="2:19" ht="15" customHeight="1">
      <c r="B63" s="420"/>
      <c r="C63" s="154" t="s">
        <v>147</v>
      </c>
      <c r="D63" s="154" t="s">
        <v>147</v>
      </c>
      <c r="E63" s="154" t="s">
        <v>147</v>
      </c>
      <c r="F63" s="155" t="s">
        <v>147</v>
      </c>
      <c r="G63" s="156" t="s">
        <v>147</v>
      </c>
      <c r="H63" s="157" t="s">
        <v>147</v>
      </c>
      <c r="I63" s="158" t="s">
        <v>147</v>
      </c>
      <c r="J63" s="159" t="s">
        <v>147</v>
      </c>
      <c r="K63" s="144" t="s">
        <v>147</v>
      </c>
      <c r="L63" s="160" t="s">
        <v>147</v>
      </c>
      <c r="M63" s="146" t="s">
        <v>147</v>
      </c>
      <c r="N63" s="146"/>
      <c r="O63" s="146"/>
      <c r="P63" s="146"/>
      <c r="Q63" s="174" t="s">
        <v>147</v>
      </c>
      <c r="R63" s="361"/>
      <c r="S63" s="409"/>
    </row>
    <row r="64" spans="2:19" ht="15" customHeight="1">
      <c r="B64" s="327" t="s">
        <v>143</v>
      </c>
      <c r="C64" s="196">
        <f>C55*C61</f>
        <v>372.28999999999996</v>
      </c>
      <c r="D64" s="421">
        <f>D61*C55</f>
        <v>441.7</v>
      </c>
      <c r="E64" s="196">
        <f>C55*E61</f>
        <v>813.9899999999999</v>
      </c>
      <c r="F64" s="421">
        <f>F61*C55</f>
        <v>1082.6067</v>
      </c>
      <c r="G64" s="196">
        <f>C55*G61</f>
        <v>268.61670000000009</v>
      </c>
      <c r="H64" s="421">
        <f>H61*C55</f>
        <v>1424.9955602374143</v>
      </c>
      <c r="I64" s="196">
        <f>C55*I61</f>
        <v>353.57032697620053</v>
      </c>
      <c r="J64" s="421">
        <f>J61*C55</f>
        <v>1891.1777007935343</v>
      </c>
      <c r="K64" s="196">
        <f>C55*K61</f>
        <v>469.23957989614019</v>
      </c>
      <c r="L64" s="421">
        <f>L61*C55</f>
        <v>2512.1646392368402</v>
      </c>
      <c r="M64" s="196">
        <f>C55*M61</f>
        <v>623.31904582568222</v>
      </c>
      <c r="N64" s="196"/>
      <c r="O64" s="196"/>
      <c r="P64" s="196"/>
      <c r="Q64" s="422">
        <f>SUM(M64,K64,I64,G64)</f>
        <v>1714.7456526980229</v>
      </c>
      <c r="R64" s="361"/>
      <c r="S64" s="409"/>
    </row>
    <row r="65" spans="2:19" ht="15" customHeight="1" thickBot="1">
      <c r="B65" s="423" t="s">
        <v>144</v>
      </c>
      <c r="C65" s="200">
        <f>C62*C54</f>
        <v>1961.16</v>
      </c>
      <c r="D65" s="424">
        <f>D62*C54</f>
        <v>1331.04</v>
      </c>
      <c r="E65" s="200">
        <f>E62*C54</f>
        <v>3292.2</v>
      </c>
      <c r="F65" s="424">
        <f>F62*C54</f>
        <v>4378.6260000000002</v>
      </c>
      <c r="G65" s="200">
        <f>G62*C54</f>
        <v>1086.4260000000004</v>
      </c>
      <c r="H65" s="424">
        <f>H62*C54</f>
        <v>5763.425083125856</v>
      </c>
      <c r="I65" s="200">
        <f>I62*C54</f>
        <v>1430.0227649861151</v>
      </c>
      <c r="J65" s="424">
        <f>J62*C54</f>
        <v>7648.9087415723434</v>
      </c>
      <c r="K65" s="200">
        <f>K62*C54</f>
        <v>1897.8495373826115</v>
      </c>
      <c r="L65" s="424">
        <f>L62*C54</f>
        <v>10160.503722767506</v>
      </c>
      <c r="M65" s="200">
        <f>M62*C54</f>
        <v>2521.0272394836679</v>
      </c>
      <c r="N65" s="200"/>
      <c r="O65" s="200"/>
      <c r="P65" s="200"/>
      <c r="Q65" s="425">
        <f>SUM(M65,K65,I65,G65)</f>
        <v>6935.325541852395</v>
      </c>
      <c r="R65" s="203"/>
      <c r="S65" s="419"/>
    </row>
  </sheetData>
  <mergeCells count="15">
    <mergeCell ref="Q3:R3"/>
    <mergeCell ref="T3:W3"/>
    <mergeCell ref="Q8:R9"/>
    <mergeCell ref="X10:Y10"/>
    <mergeCell ref="L58:M58"/>
    <mergeCell ref="K2:L3"/>
    <mergeCell ref="N3:O4"/>
    <mergeCell ref="B53:G53"/>
    <mergeCell ref="D54:G55"/>
    <mergeCell ref="B57:K57"/>
    <mergeCell ref="C58:E58"/>
    <mergeCell ref="F58:G58"/>
    <mergeCell ref="H58:I58"/>
    <mergeCell ref="J58:K58"/>
    <mergeCell ref="H3:I3"/>
  </mergeCells>
  <hyperlinks>
    <hyperlink ref="C56" r:id="rId1" xr:uid="{D38C2554-EB0D-4CDE-B0AC-3ECE3E6F2C59}"/>
  </hyperlinks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8D42476E5B6A4EBA91A8B9D261A3C7" ma:contentTypeVersion="11" ma:contentTypeDescription="Create a new document." ma:contentTypeScope="" ma:versionID="4ad3fe820ace7897033f128887abdd73">
  <xsd:schema xmlns:xsd="http://www.w3.org/2001/XMLSchema" xmlns:xs="http://www.w3.org/2001/XMLSchema" xmlns:p="http://schemas.microsoft.com/office/2006/metadata/properties" xmlns:ns2="0746d658-441e-4481-84b1-c3a67d52e85e" xmlns:ns3="9d212a3a-7570-4907-adff-a4cb86948f52" targetNamespace="http://schemas.microsoft.com/office/2006/metadata/properties" ma:root="true" ma:fieldsID="91c1beb0d9aa84200558e75b282a2255" ns2:_="" ns3:_="">
    <xsd:import namespace="0746d658-441e-4481-84b1-c3a67d52e85e"/>
    <xsd:import namespace="9d212a3a-7570-4907-adff-a4cb86948f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46d658-441e-4481-84b1-c3a67d52e8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212a3a-7570-4907-adff-a4cb86948f52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39FD5A-FB6F-4E55-96EF-49CBFEC835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46d658-441e-4481-84b1-c3a67d52e85e"/>
    <ds:schemaRef ds:uri="9d212a3a-7570-4907-adff-a4cb86948f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7EE1B96-834B-4886-BCB6-E312882A34D5}">
  <ds:schemaRefs>
    <ds:schemaRef ds:uri="http://purl.org/dc/elements/1.1/"/>
    <ds:schemaRef ds:uri="0746d658-441e-4481-84b1-c3a67d52e85e"/>
    <ds:schemaRef ds:uri="http://purl.org/dc/terms/"/>
    <ds:schemaRef ds:uri="http://purl.org/dc/dcmitype/"/>
    <ds:schemaRef ds:uri="http://schemas.microsoft.com/office/2006/documentManagement/types"/>
    <ds:schemaRef ds:uri="9d212a3a-7570-4907-adff-a4cb86948f52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A955E6B-BD04-45A1-AAAE-723684E2FF2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Summary</vt:lpstr>
      <vt:lpstr>Assumptions</vt:lpstr>
      <vt:lpstr>BiPed Users Change</vt:lpstr>
      <vt:lpstr>Costs</vt:lpstr>
      <vt:lpstr>Benefits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Putnam</dc:creator>
  <cp:lastModifiedBy>David Putnam</cp:lastModifiedBy>
  <dcterms:created xsi:type="dcterms:W3CDTF">2022-05-19T12:59:43Z</dcterms:created>
  <dcterms:modified xsi:type="dcterms:W3CDTF">2022-05-23T17:22:25Z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0x010100218D42476E5B6A4EBA91A8B9D261A3C7</vt:lpwstr>
  </property>
</Properties>
</file>